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500" activeTab="0"/>
  </bookViews>
  <sheets>
    <sheet name="Table S1" sheetId="1" r:id="rId1"/>
  </sheets>
  <definedNames/>
  <calcPr fullCalcOnLoad="1"/>
</workbook>
</file>

<file path=xl/sharedStrings.xml><?xml version="1.0" encoding="utf-8"?>
<sst xmlns="http://schemas.openxmlformats.org/spreadsheetml/2006/main" count="368" uniqueCount="150">
  <si>
    <t>Locus</t>
  </si>
  <si>
    <t>CpG location in custom reference</t>
  </si>
  <si>
    <t>Internal CpG name</t>
  </si>
  <si>
    <t>Strand analysed</t>
  </si>
  <si>
    <t>CpG_ID</t>
  </si>
  <si>
    <t>Inclusion in the models</t>
  </si>
  <si>
    <t>Blood</t>
  </si>
  <si>
    <t>Buccal cells</t>
  </si>
  <si>
    <t>Bones</t>
  </si>
  <si>
    <t>Zbieć-Piekarska et al., 2015</t>
  </si>
  <si>
    <t>Woźniak&amp;Heidegger et al., 2020</t>
  </si>
  <si>
    <t xml:space="preserve">Standardized Coefficient β </t>
  </si>
  <si>
    <t>t</t>
  </si>
  <si>
    <r>
      <rPr>
        <b/>
        <i/>
        <sz val="11"/>
        <color indexed="8"/>
        <rFont val="Cambria"/>
        <family val="1"/>
      </rPr>
      <t>P</t>
    </r>
    <r>
      <rPr>
        <b/>
        <sz val="11"/>
        <color indexed="8"/>
        <rFont val="Cambria"/>
        <family val="1"/>
      </rPr>
      <t>-value</t>
    </r>
  </si>
  <si>
    <r>
      <t>R</t>
    </r>
    <r>
      <rPr>
        <b/>
        <vertAlign val="superscript"/>
        <sz val="11"/>
        <color indexed="8"/>
        <rFont val="Cambria"/>
        <family val="1"/>
      </rPr>
      <t>2</t>
    </r>
  </si>
  <si>
    <t>MIR29B2CHG</t>
  </si>
  <si>
    <t>C3</t>
  </si>
  <si>
    <t>chr1:207823672</t>
  </si>
  <si>
    <t>+</t>
  </si>
  <si>
    <t>–</t>
  </si>
  <si>
    <t>Yes</t>
  </si>
  <si>
    <t>C2</t>
  </si>
  <si>
    <t>chr1:207823675</t>
  </si>
  <si>
    <t>cg10501210</t>
  </si>
  <si>
    <t>C1</t>
  </si>
  <si>
    <t>chr1:207823681</t>
  </si>
  <si>
    <t>EDARADD</t>
  </si>
  <si>
    <t>-</t>
  </si>
  <si>
    <t>cg09809672</t>
  </si>
  <si>
    <t>FHL2</t>
  </si>
  <si>
    <t>chr2:105399282</t>
  </si>
  <si>
    <t>cg06639320</t>
  </si>
  <si>
    <t>chr2:105399288</t>
  </si>
  <si>
    <t>chr2:105399291</t>
  </si>
  <si>
    <t>C4</t>
  </si>
  <si>
    <t>chr2:105399297</t>
  </si>
  <si>
    <t>C5</t>
  </si>
  <si>
    <t>chr2:105399300</t>
  </si>
  <si>
    <t>C6</t>
  </si>
  <si>
    <t>chr2:105399310</t>
  </si>
  <si>
    <t>cg22454769</t>
  </si>
  <si>
    <t>C7</t>
  </si>
  <si>
    <t>chr2:105399314</t>
  </si>
  <si>
    <t>cg24079702</t>
  </si>
  <si>
    <t>C8</t>
  </si>
  <si>
    <t>chr2:105399316</t>
  </si>
  <si>
    <t>C9</t>
  </si>
  <si>
    <t>chr2: 105399323</t>
  </si>
  <si>
    <t>C10</t>
  </si>
  <si>
    <t>chr2: 105399327</t>
  </si>
  <si>
    <t>TRIM59</t>
  </si>
  <si>
    <t>chr3:160450172</t>
  </si>
  <si>
    <t>chr3:160450174</t>
  </si>
  <si>
    <t>chr3:160450179</t>
  </si>
  <si>
    <t>chr3:160450184</t>
  </si>
  <si>
    <t>chr3:160450189</t>
  </si>
  <si>
    <t>cg07553761</t>
  </si>
  <si>
    <t>chr3:160450192</t>
  </si>
  <si>
    <t>chr3:160450199</t>
  </si>
  <si>
    <t>chr3:160450202</t>
  </si>
  <si>
    <t>ELOVL2</t>
  </si>
  <si>
    <t>chr6:11044628</t>
  </si>
  <si>
    <t>chr6:11044631</t>
  </si>
  <si>
    <t>chr6:11044634</t>
  </si>
  <si>
    <t>chr6:11044640</t>
  </si>
  <si>
    <t>chr6:11044642</t>
  </si>
  <si>
    <t>chr6:11044644</t>
  </si>
  <si>
    <t>cg16867657</t>
  </si>
  <si>
    <t>chr6:11044647</t>
  </si>
  <si>
    <t>chr6:11044655</t>
  </si>
  <si>
    <t>cg24724428</t>
  </si>
  <si>
    <t>chr6:11044661</t>
  </si>
  <si>
    <t>cg21572722</t>
  </si>
  <si>
    <t>KLF14</t>
  </si>
  <si>
    <t>chr7:130734355</t>
  </si>
  <si>
    <t>cg14361627</t>
  </si>
  <si>
    <t>chr7:130734357</t>
  </si>
  <si>
    <t>chr7:130734372</t>
  </si>
  <si>
    <t>chr7:130734375</t>
  </si>
  <si>
    <t>ASPA</t>
  </si>
  <si>
    <t>chr17:3476273</t>
  </si>
  <si>
    <t>cg02228185</t>
  </si>
  <si>
    <t>PDE4C</t>
  </si>
  <si>
    <t>chr19:18233079</t>
  </si>
  <si>
    <t>chr19:18233082</t>
  </si>
  <si>
    <t>chr19:18233091</t>
  </si>
  <si>
    <t>cg17861230</t>
  </si>
  <si>
    <t>chr19:18233105</t>
  </si>
  <si>
    <t>chr19:18233127</t>
  </si>
  <si>
    <t>chr19:18233131</t>
  </si>
  <si>
    <t>cg01481989</t>
  </si>
  <si>
    <t>chr19:18233133</t>
  </si>
  <si>
    <t>ELOVL2*</t>
  </si>
  <si>
    <t>chr1:236394371</t>
  </si>
  <si>
    <t>chr1:236394383</t>
  </si>
  <si>
    <t>429*</t>
  </si>
  <si>
    <t>435*</t>
  </si>
  <si>
    <t>C9*</t>
  </si>
  <si>
    <t>C7*</t>
  </si>
  <si>
    <t>chr6:11044628*</t>
  </si>
  <si>
    <t>chr6:11044634*</t>
  </si>
  <si>
    <t>Yes*</t>
  </si>
  <si>
    <t>GRCh38 Chr:position (reported according to the analysed strand)</t>
  </si>
  <si>
    <t>*the results of univariate regression analysis applied for the power transformed DNA methylation data are presented</t>
  </si>
  <si>
    <t>N/A</t>
  </si>
  <si>
    <t>References:</t>
  </si>
  <si>
    <t>1. Hannum G, Guinney J, Zhao L, Zhang L, Hughes G, Sadda S, Klotzle B, Bibikova M, Fan JB, Gao Y, Deconde R, Chen M, Rajapakse I, Friend S, Ideker T, Zhang K. (2013) Genome-wide methylation profiles reveal quantitative views of human aging rates. Mol Cell. 2013 Jan 24;49(2):359-367. doi: 10.1016/j.molcel.2012.10.016. Epub 2012 Nov 21. PMID: 23177740; PMCID: PMC3780611.</t>
  </si>
  <si>
    <t>2. Zbieć-Piekarska R, Spólnicka M, Kupiec T, Parys-Proszek A, Makowska Ż, Pałeczka A, Kucharczyk K, Płoski R, Branicki W. (2015). Development of a forensically useful age prediction method based on DNA methylation analysis. Forensic Sci Int Genet. 2015 Jul;17:173-179. doi: 10.1016/j.fsigen.2015.05.001. Epub 2015 May 5. PMID: 26026729.</t>
  </si>
  <si>
    <t>3. Cho, S., Jung, S. E., Hong, S. R., Lee, E. H., Lee, J. H., Lee, S. D., &amp; Lee, H. Y. (2017). Independent validation of DNA-based approaches for age prediction in blood. Forensic Sci. Int. Genet., 29, 250–256.</t>
  </si>
  <si>
    <t>4. Thong  Z., Chan X.L.S. ,Tan J.Y.Y., Loo  E.S., Syn C.K.C., (2017).Evaluation of DNA methylation-based age prediction on blood, Forensic Sci. Int. Genet. Supplement Series, 6, e249–e251. https://doi.org/10.1016/j.fsigss.2017.09.095</t>
  </si>
  <si>
    <t>5. Daunay, A., Baudrin, L.G., Deleuze, JF. et al.(2019). Evaluation of six blood-based age prediction models using DNA methylation analysis by pyrosequencing. Sci Rep 9, 8862. https://doi.org/10.1038/s41598-019-45197-w</t>
  </si>
  <si>
    <t xml:space="preserve">6. Fleckhaus, Jan &amp; Schneider, Peter M.. (2019). Novel multiplex strategy for DNA methylation-based age prediction from small amounts of DNA via Pyrosequencing. Forensic Science International: Genetics. 44. 102189. 10.1016/j.fsigen.2019.102189. </t>
  </si>
  <si>
    <t>7. Smeers, I., Decorte, R., Van de Voorde, W., and Bekaert, B. (2018). Evaluation of three statistical prediction models for forensic age prediction based on DNA methylation. Foren. Sci. Int. Genet. 34, 128–133. doi: 10.1016/j.fsigen.2018.02.008</t>
  </si>
  <si>
    <t>8. Bekaert, B., Kamalandua, A., Zapico, S. C., van de Voorde, W., &amp; Decorte, R. (2015). Improved age determination of blood and teeth samples using a selected set of DNA methylation markers. Epigenetics, 10(10), 922–930. https://doi.org/10.1080/15592294.2015.1080413</t>
  </si>
  <si>
    <t>9. Freire-Aradas, A., Phillips, C., Mosquera-Miguel, A., Girón-Santamaría, L., Gómez-Tato, A., Cal, M. C. de, Álvarez-Dios, J., Ansede-Bermejo, J., Torres-Español, M., Schneider, P. M., Pośpiech, E., Branicki, W., Carracedo, Á., &amp; Lareu, M. V. (2016). Development of a methylation marker set for forensic age estimation using analysis of public methylation data and the Agena Bioscience EpiTYPER system. Forensic Sci. Int. Genet., 24, 65–74.</t>
  </si>
  <si>
    <t>10. Zubakov, D., Liu, F., Kokmeijer, I., Choi, Y., van Meurs, J. B. J., van IJcken, W. F. J., et al. (2016). Human age estimation from blood using mRNA, DNA methylation, DNA rearrangement, and telomere length. Foren. Sci. Int. Genet. 24, 33–43. doi: 10.1016/j.fsigen.2016.05.014</t>
  </si>
  <si>
    <t>11. Bocklandt, S., Lin, W., Sehl, M. E., Sánchez, F. J., Sinsheimer, J. S., Horvath, S., &amp; Vilain, E. (2011). Epigenetic predictor of age. PLoS One, 6.</t>
  </si>
  <si>
    <t>12. Pan C., Yi S., Xiao C., Huang Y., Chen X., Huang D. (2020). The evaluation of seven age-related CpGs for forensic purpose in blood from Chinese Han population, Forensic Sci. Int. Genet.,  46, 102251. https://doi.org/10.1016/j.fsigen.2020.102251</t>
  </si>
  <si>
    <t>13. Jung, S. E., Lim, S. M., Hong, S. R., Lee, E. H., Shin, K. J., &amp; Lee, H. Y. (2019). DNA methylation of the ELOVL2, FHL2, KLF14, C1orf132/MIR29B2C, and TRIM59 genes for age prediction from blood, saliva, and buccal swab samples. Forensic Science International: Genetics, 38, 1–8. https://doi.org/10.1016/j.fsigen.2018.09.010</t>
  </si>
  <si>
    <t>14. Zbieć-Piekarska R, Spólnicka M, Kupiec T, Makowska Ż, Spas A, Parys-Proszek A, Kucharczyk K, Płoski R, Branicki W (2015). Examination of DNA methylation status of the ELOVL2 marker may be useful for human age prediction in forensic science. Forensic Sci Int Genet.  Jan;14:161-7. doi: 10.1016/j.fsigen.2014.10.002. Epub 2014 Oct 14. PMID: 25450787.</t>
  </si>
  <si>
    <t>15. Park, J. L., Kim, J. H., Seo, E., Bae, D. H., Kim, S. Y., Lee, H. C., et al. (2016). Identification and evaluation of age-correlated DNA methylation markers for forensic use. Forens. Sci. Int. Genet. 23, 64–70. doi: 10.1016/j.fsigen.2016.03.005</t>
  </si>
  <si>
    <t>16. Slieker, R. C., Relton, C. L., Gaunt, T. R., Slagboom, P. E., &amp; Heijmans, B. T. (2018). Age-related DNA methylation changes are tissue-specific with ELOVL2 promoter methylation as exception. Epigenetics Chromatin, 11, 25.</t>
  </si>
  <si>
    <t>17. Weidner, C. I., Lin, Q., Koch, C. M., Eisele, L., Beier, F., Ziegler, P., Bauerschlag, D. O., Jöckel, K. H., Erbel, R., Mühleisen, T. W., Zenke, M., Brümmendorf, T. H., &amp; Wagner, W. (2014). Aging of blood can be tracked by DNA methylation changes at just three CpG sites. Genome Biology, 15(2), R24. https://doi.org/10.1186/gb-2014-15-2-r24</t>
  </si>
  <si>
    <t>18. Eipel, M., Mayer, F., Arent, T., Ferreira, M. R. P., Birkhofer, C., Gerstenmaier, U., Costa, I. G., Ritz-Timme, S., &amp; Wagner, W. (2016). Epigenetic age predictions based on buccal swabs are more precise in combination with cell type-specific DNA methylation signatures. Aging, 8(5), 1034–1048. https://doi.org/10.18632/aging.100972</t>
  </si>
  <si>
    <t>19. Huang, J. Yan, J. Hou, X. Fu, L. Li, Y. Hou (2015). Developing a DNA methylation assay for human age prediction in blood and bloodstain, Forensic Sci. Int. Genet. 17  129–136. https://doi.org/10.1016/j.fsigen.2015.05.007</t>
  </si>
  <si>
    <t>20. Xu, C., Qu, H., Wang, G., Xie, B., Shi, Y., Yang, Y., et al. (2015). A novel strategy for forensic age prediction by DNA methylation and support vector regression model. Sci. Rep. 5:17788.</t>
  </si>
  <si>
    <t>[1,2,3,4,5]</t>
  </si>
  <si>
    <t>[1,2,3,4,5,6]</t>
  </si>
  <si>
    <t>[5,7]</t>
  </si>
  <si>
    <t>[5,8,9,10,11,12]</t>
  </si>
  <si>
    <t>[1,2,3,4,5,9,12,13]</t>
  </si>
  <si>
    <t>[3,8,10]</t>
  </si>
  <si>
    <t>[8]</t>
  </si>
  <si>
    <t>[1,3]</t>
  </si>
  <si>
    <t>[1,2,3,4,5,8,10,14]</t>
  </si>
  <si>
    <t>[1,2,3,4,5,8,14]</t>
  </si>
  <si>
    <t>[1,2,3,4,5,14]</t>
  </si>
  <si>
    <t>[1,2,3,4,5,14,15,16]</t>
  </si>
  <si>
    <t>[1,2,3,4,5,9,10,14,15]</t>
  </si>
  <si>
    <t>[1,2,3,4,5,12]</t>
  </si>
  <si>
    <t>[1,2,3,4,5,13]</t>
  </si>
  <si>
    <t>[5,8,9,11,12,17,18,19]</t>
  </si>
  <si>
    <t>[5,6,9]</t>
  </si>
  <si>
    <t>[5,6,8,9,11,17]</t>
  </si>
  <si>
    <t>[5,6,8,9,17,18,20]</t>
  </si>
  <si>
    <t>[5,6,9,20]</t>
  </si>
  <si>
    <t>[6,8,9,17,18,20]</t>
  </si>
  <si>
    <t>[6,9,20]</t>
  </si>
  <si>
    <t>References</t>
  </si>
  <si>
    <t>Supplementary Table 1. Characteristics of all the CpG sites analysed in the study and the results of univariate association testing for age and CpG sites analysed in training sets for blood (N=112), buccal cells (N=112) and bones (N=112).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</si>
</sst>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_ ;_ * \(#,##0\)_ ;_ * &quot;-&quot;_)_ ;_ @_ "/>
    <numFmt numFmtId="170" formatCode="_ * #,##0.00_)\ &quot;zł&quot;_ ;_ * \(#,##0.00\)\ &quot;zł&quot;_ ;_ * &quot;-&quot;??_)\ &quot;zł&quot;_ ;_ @_ "/>
    <numFmt numFmtId="171" formatCode="_ * #,##0.00_)_ ;_ * \(#,##0.00\)_ ;_ * &quot;-&quot;??_)_ ;_ @_ "/>
  </numFmts>
  <fonts count="57">
    <font>
      <sz val="12"/>
      <color theme="1"/>
      <name val="Calibri"/>
      <family val="2"/>
    </font>
    <font>
      <sz val="12"/>
      <color indexed="8"/>
      <name val="Calibri"/>
      <family val="2"/>
    </font>
    <font>
      <sz val="10"/>
      <name val="Arial CE"/>
      <family val="0"/>
    </font>
    <font>
      <b/>
      <sz val="11"/>
      <color indexed="8"/>
      <name val="Cambria"/>
      <family val="1"/>
    </font>
    <font>
      <b/>
      <i/>
      <sz val="11"/>
      <color indexed="8"/>
      <name val="Cambria"/>
      <family val="1"/>
    </font>
    <font>
      <b/>
      <vertAlign val="superscript"/>
      <sz val="11"/>
      <color indexed="8"/>
      <name val="Cambria"/>
      <family val="1"/>
    </font>
    <font>
      <sz val="11"/>
      <name val="Cambria"/>
      <family val="1"/>
    </font>
    <font>
      <sz val="10"/>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sz val="11"/>
      <color indexed="8"/>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1"/>
      <color indexed="8"/>
      <name val="Cambria"/>
      <family val="1"/>
    </font>
    <font>
      <i/>
      <sz val="11"/>
      <color indexed="8"/>
      <name val="Cambria"/>
      <family val="1"/>
    </font>
    <font>
      <sz val="11"/>
      <color indexed="10"/>
      <name val="Cambria"/>
      <family val="1"/>
    </font>
    <font>
      <i/>
      <sz val="10"/>
      <color indexed="8"/>
      <name val="Calibri "/>
      <family val="0"/>
    </font>
    <font>
      <b/>
      <sz val="10"/>
      <color indexed="8"/>
      <name val="Calibri "/>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sz val="12"/>
      <color rgb="FF000000"/>
      <name val="Calibri"/>
      <family val="2"/>
    </font>
    <font>
      <sz val="11"/>
      <color theme="1"/>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1"/>
      <color theme="1"/>
      <name val="Cambria"/>
      <family val="1"/>
    </font>
    <font>
      <sz val="11"/>
      <color rgb="FF000000"/>
      <name val="Cambria"/>
      <family val="1"/>
    </font>
    <font>
      <i/>
      <sz val="11"/>
      <color rgb="FF000000"/>
      <name val="Cambria"/>
      <family val="1"/>
    </font>
    <font>
      <i/>
      <sz val="11"/>
      <color theme="1"/>
      <name val="Cambria"/>
      <family val="1"/>
    </font>
    <font>
      <b/>
      <sz val="11"/>
      <color theme="1"/>
      <name val="Cambria"/>
      <family val="1"/>
    </font>
    <font>
      <sz val="11"/>
      <color rgb="FFFF0000"/>
      <name val="Cambria"/>
      <family val="1"/>
    </font>
    <font>
      <i/>
      <sz val="10"/>
      <color theme="1"/>
      <name val="Calibri "/>
      <family val="0"/>
    </font>
    <font>
      <b/>
      <sz val="11"/>
      <color rgb="FF000000"/>
      <name val="Cambria"/>
      <family val="1"/>
    </font>
    <font>
      <b/>
      <sz val="10"/>
      <color theme="1"/>
      <name val="Calibri "/>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43"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7"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Font="1" applyAlignment="1">
      <alignment/>
    </xf>
    <xf numFmtId="0" fontId="48" fillId="0" borderId="0" xfId="0" applyFont="1" applyAlignment="1">
      <alignment/>
    </xf>
    <xf numFmtId="0" fontId="48" fillId="0" borderId="0" xfId="0" applyFont="1" applyAlignment="1">
      <alignment horizontal="center"/>
    </xf>
    <xf numFmtId="0" fontId="49" fillId="0" borderId="0" xfId="0" applyFont="1" applyFill="1" applyAlignment="1">
      <alignment/>
    </xf>
    <xf numFmtId="0" fontId="48" fillId="0" borderId="0" xfId="0" applyFont="1" applyFill="1" applyAlignment="1">
      <alignment/>
    </xf>
    <xf numFmtId="0" fontId="48" fillId="0" borderId="10" xfId="0" applyFont="1" applyBorder="1" applyAlignment="1">
      <alignment/>
    </xf>
    <xf numFmtId="0" fontId="48" fillId="0" borderId="10" xfId="0" applyFont="1" applyFill="1" applyBorder="1" applyAlignment="1">
      <alignment/>
    </xf>
    <xf numFmtId="0" fontId="50" fillId="0" borderId="0" xfId="0" applyFont="1" applyFill="1" applyAlignment="1">
      <alignment/>
    </xf>
    <xf numFmtId="0" fontId="51" fillId="0" borderId="0" xfId="0" applyFont="1" applyAlignment="1">
      <alignment/>
    </xf>
    <xf numFmtId="0" fontId="51" fillId="0" borderId="0" xfId="0" applyFont="1" applyAlignment="1">
      <alignment horizontal="center"/>
    </xf>
    <xf numFmtId="0" fontId="52" fillId="0" borderId="10" xfId="0" applyFont="1" applyBorder="1" applyAlignment="1">
      <alignment horizontal="center" vertical="top" wrapText="1"/>
    </xf>
    <xf numFmtId="0" fontId="52" fillId="0" borderId="10" xfId="0" applyFont="1" applyBorder="1" applyAlignment="1">
      <alignment horizontal="center" vertical="top"/>
    </xf>
    <xf numFmtId="0" fontId="48" fillId="0" borderId="10" xfId="0" applyFont="1" applyBorder="1" applyAlignment="1">
      <alignment horizontal="center"/>
    </xf>
    <xf numFmtId="0" fontId="49" fillId="0" borderId="10" xfId="0" applyFont="1" applyFill="1" applyBorder="1" applyAlignment="1">
      <alignment/>
    </xf>
    <xf numFmtId="0" fontId="6" fillId="0" borderId="10" xfId="0" applyFont="1" applyFill="1" applyBorder="1" applyAlignment="1">
      <alignment/>
    </xf>
    <xf numFmtId="0" fontId="48" fillId="0" borderId="10" xfId="0" applyFont="1" applyBorder="1" applyAlignment="1">
      <alignment horizontal="left"/>
    </xf>
    <xf numFmtId="0" fontId="48" fillId="0" borderId="10" xfId="0" applyFont="1" applyFill="1" applyBorder="1" applyAlignment="1">
      <alignment horizontal="left"/>
    </xf>
    <xf numFmtId="1" fontId="48" fillId="0" borderId="10" xfId="0" applyNumberFormat="1" applyFont="1" applyBorder="1" applyAlignment="1">
      <alignment horizontal="left" vertical="center"/>
    </xf>
    <xf numFmtId="1" fontId="48" fillId="0" borderId="10" xfId="57" applyNumberFormat="1" applyFont="1" applyFill="1" applyBorder="1" applyAlignment="1">
      <alignment horizontal="left"/>
      <protection/>
    </xf>
    <xf numFmtId="0" fontId="48" fillId="0" borderId="11" xfId="0" applyFont="1" applyBorder="1" applyAlignment="1">
      <alignment horizontal="center" vertical="top"/>
    </xf>
    <xf numFmtId="0" fontId="48" fillId="0" borderId="10" xfId="0" applyFont="1" applyBorder="1" applyAlignment="1">
      <alignment horizontal="center" vertical="top"/>
    </xf>
    <xf numFmtId="0" fontId="53" fillId="0" borderId="10" xfId="0" applyFont="1" applyBorder="1" applyAlignment="1">
      <alignment horizontal="center"/>
    </xf>
    <xf numFmtId="0" fontId="48" fillId="0" borderId="10" xfId="0" applyFont="1" applyFill="1" applyBorder="1" applyAlignment="1">
      <alignment horizontal="center"/>
    </xf>
    <xf numFmtId="1" fontId="48"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48" fillId="0" borderId="10" xfId="0" applyFont="1" applyFill="1" applyBorder="1" applyAlignment="1">
      <alignment/>
    </xf>
    <xf numFmtId="0" fontId="48" fillId="0" borderId="10" xfId="0" applyFont="1" applyFill="1" applyBorder="1" applyAlignment="1">
      <alignment horizontal="center"/>
    </xf>
    <xf numFmtId="49" fontId="48" fillId="0" borderId="10" xfId="0" applyNumberFormat="1" applyFont="1" applyFill="1" applyBorder="1" applyAlignment="1">
      <alignment horizontal="left" vertical="center"/>
    </xf>
    <xf numFmtId="1" fontId="48" fillId="0" borderId="10" xfId="57" applyNumberFormat="1" applyFont="1" applyFill="1" applyBorder="1" applyAlignment="1">
      <alignment horizontal="left"/>
      <protection/>
    </xf>
    <xf numFmtId="0" fontId="49" fillId="0" borderId="10" xfId="0" applyFont="1" applyFill="1" applyBorder="1" applyAlignment="1">
      <alignment/>
    </xf>
    <xf numFmtId="0" fontId="48" fillId="0" borderId="10" xfId="0" applyFont="1" applyFill="1" applyBorder="1" applyAlignment="1">
      <alignment horizontal="center" vertical="top"/>
    </xf>
    <xf numFmtId="11" fontId="48" fillId="0" borderId="10" xfId="0" applyNumberFormat="1" applyFont="1" applyFill="1" applyBorder="1" applyAlignment="1">
      <alignment horizontal="center" vertical="top"/>
    </xf>
    <xf numFmtId="0" fontId="48" fillId="0" borderId="0" xfId="0" applyFont="1" applyFill="1" applyAlignment="1">
      <alignment/>
    </xf>
    <xf numFmtId="49" fontId="48" fillId="0" borderId="10" xfId="0" applyNumberFormat="1" applyFont="1" applyFill="1" applyBorder="1" applyAlignment="1">
      <alignment/>
    </xf>
    <xf numFmtId="0" fontId="53" fillId="0" borderId="10" xfId="0" applyFont="1" applyFill="1" applyBorder="1" applyAlignment="1">
      <alignment horizontal="center"/>
    </xf>
    <xf numFmtId="0" fontId="48" fillId="0" borderId="10" xfId="0" applyNumberFormat="1" applyFont="1" applyFill="1" applyBorder="1" applyAlignment="1">
      <alignment horizontal="center" vertical="top"/>
    </xf>
    <xf numFmtId="0" fontId="48" fillId="0" borderId="0" xfId="0" applyFont="1" applyBorder="1" applyAlignment="1">
      <alignment/>
    </xf>
    <xf numFmtId="0" fontId="51" fillId="0" borderId="0" xfId="0" applyFont="1" applyBorder="1" applyAlignment="1">
      <alignment/>
    </xf>
    <xf numFmtId="0" fontId="48" fillId="0" borderId="0" xfId="0" applyFont="1" applyBorder="1" applyAlignment="1">
      <alignment/>
    </xf>
    <xf numFmtId="0" fontId="52" fillId="0" borderId="0" xfId="0" applyFont="1" applyBorder="1" applyAlignment="1">
      <alignment vertical="top"/>
    </xf>
    <xf numFmtId="0" fontId="6" fillId="0" borderId="0" xfId="56" applyFont="1" applyFill="1" applyBorder="1" applyAlignment="1">
      <alignment/>
      <protection/>
    </xf>
    <xf numFmtId="0" fontId="48" fillId="0" borderId="0" xfId="0" applyFont="1" applyFill="1" applyBorder="1" applyAlignment="1">
      <alignment/>
    </xf>
    <xf numFmtId="0" fontId="54" fillId="0" borderId="0" xfId="0" applyFont="1" applyAlignment="1">
      <alignment/>
    </xf>
    <xf numFmtId="0" fontId="54" fillId="0" borderId="0" xfId="0" applyFont="1" applyAlignment="1">
      <alignment horizontal="center"/>
    </xf>
    <xf numFmtId="0" fontId="54" fillId="0" borderId="0" xfId="0" applyFont="1" applyFill="1" applyAlignment="1">
      <alignment/>
    </xf>
    <xf numFmtId="0" fontId="54" fillId="0" borderId="0" xfId="0" applyFont="1" applyBorder="1" applyAlignment="1">
      <alignment/>
    </xf>
    <xf numFmtId="0" fontId="52" fillId="0" borderId="10" xfId="0" applyFont="1" applyBorder="1" applyAlignment="1">
      <alignment horizontal="center" vertical="top"/>
    </xf>
    <xf numFmtId="0" fontId="52" fillId="0" borderId="10" xfId="0" applyFont="1" applyBorder="1" applyAlignment="1">
      <alignment horizontal="center" vertical="center"/>
    </xf>
    <xf numFmtId="0" fontId="52" fillId="0" borderId="12" xfId="0" applyFont="1" applyBorder="1" applyAlignment="1">
      <alignment horizontal="center"/>
    </xf>
    <xf numFmtId="0" fontId="52" fillId="0" borderId="13" xfId="0" applyFont="1" applyBorder="1" applyAlignment="1">
      <alignment horizontal="center"/>
    </xf>
    <xf numFmtId="0" fontId="52" fillId="0" borderId="14" xfId="0" applyFont="1" applyBorder="1" applyAlignment="1">
      <alignment horizontal="center"/>
    </xf>
    <xf numFmtId="0" fontId="52" fillId="0" borderId="10" xfId="0" applyFont="1" applyBorder="1" applyAlignment="1">
      <alignment horizontal="center"/>
    </xf>
    <xf numFmtId="0" fontId="52" fillId="0" borderId="10" xfId="0" applyFont="1" applyBorder="1" applyAlignment="1">
      <alignment horizontal="left" vertical="top" wrapText="1"/>
    </xf>
    <xf numFmtId="0" fontId="52" fillId="0" borderId="12" xfId="0" applyFont="1" applyBorder="1" applyAlignment="1">
      <alignment horizontal="center" vertical="top" wrapText="1"/>
    </xf>
    <xf numFmtId="0" fontId="52" fillId="0" borderId="13" xfId="0" applyFont="1" applyBorder="1" applyAlignment="1">
      <alignment horizontal="center" vertical="top" wrapText="1"/>
    </xf>
    <xf numFmtId="0" fontId="52" fillId="0" borderId="14" xfId="0" applyFont="1" applyBorder="1" applyAlignment="1">
      <alignment horizontal="center" vertical="top" wrapText="1"/>
    </xf>
    <xf numFmtId="0" fontId="52" fillId="0" borderId="10" xfId="0" applyNumberFormat="1" applyFont="1" applyBorder="1" applyAlignment="1">
      <alignment horizontal="center" vertical="top"/>
    </xf>
    <xf numFmtId="0" fontId="52" fillId="0" borderId="10" xfId="0" applyNumberFormat="1" applyFont="1" applyBorder="1" applyAlignment="1">
      <alignment horizontal="center" vertical="top" wrapText="1"/>
    </xf>
    <xf numFmtId="0" fontId="52" fillId="0" borderId="10" xfId="0" applyFont="1" applyBorder="1" applyAlignment="1">
      <alignment horizontal="center" vertical="top" wrapText="1"/>
    </xf>
    <xf numFmtId="0" fontId="55" fillId="0" borderId="10" xfId="0" applyNumberFormat="1" applyFont="1" applyFill="1" applyBorder="1" applyAlignment="1">
      <alignment horizontal="center" vertical="top" wrapText="1"/>
    </xf>
    <xf numFmtId="0" fontId="52" fillId="0" borderId="10" xfId="0" applyFont="1" applyBorder="1" applyAlignment="1">
      <alignment horizontal="left" vertical="top"/>
    </xf>
    <xf numFmtId="0" fontId="56"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ny 2" xfId="55"/>
    <cellStyle name="Normalny 3" xfId="56"/>
    <cellStyle name="Normalny 4" xfId="57"/>
    <cellStyle name="Note" xfId="58"/>
    <cellStyle name="Output" xfId="59"/>
    <cellStyle name="Percent" xfId="60"/>
    <cellStyle name="Standard 2" xfId="61"/>
    <cellStyle name="Title" xfId="62"/>
    <cellStyle name="Total" xfId="63"/>
    <cellStyle name="Warning Text" xfId="64"/>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5"/>
  <sheetViews>
    <sheetView tabSelected="1" zoomScale="85" zoomScaleNormal="85" zoomScalePageLayoutView="0" workbookViewId="0" topLeftCell="A1">
      <selection activeCell="A1" sqref="A1"/>
    </sheetView>
  </sheetViews>
  <sheetFormatPr defaultColWidth="11.00390625" defaultRowHeight="15.75"/>
  <cols>
    <col min="1" max="1" width="12.875" style="1" customWidth="1"/>
    <col min="2" max="2" width="10.875" style="2" customWidth="1"/>
    <col min="3" max="3" width="8.625" style="1" customWidth="1"/>
    <col min="4" max="4" width="8.875" style="4" customWidth="1"/>
    <col min="5" max="5" width="18.375" style="1" customWidth="1"/>
    <col min="6" max="6" width="11.00390625" style="1" bestFit="1" customWidth="1"/>
    <col min="7" max="7" width="15.125" style="1" customWidth="1"/>
    <col min="8" max="8" width="13.00390625" style="1" customWidth="1"/>
    <col min="9" max="9" width="13.375" style="1" customWidth="1"/>
    <col min="10" max="10" width="12.625" style="1" customWidth="1"/>
    <col min="11" max="11" width="15.00390625" style="1" customWidth="1"/>
    <col min="12" max="12" width="11.125" style="1" bestFit="1" customWidth="1"/>
    <col min="13" max="13" width="11.625" style="1" bestFit="1" customWidth="1"/>
    <col min="14" max="14" width="11.125" style="1" bestFit="1" customWidth="1"/>
    <col min="15" max="15" width="12.875" style="1" customWidth="1"/>
    <col min="16" max="16" width="11.125" style="1" bestFit="1" customWidth="1"/>
    <col min="17" max="17" width="11.625" style="1" bestFit="1" customWidth="1"/>
    <col min="18" max="18" width="11.125" style="1" bestFit="1" customWidth="1"/>
    <col min="19" max="19" width="13.875" style="1" customWidth="1"/>
    <col min="20" max="22" width="11.125" style="1" bestFit="1" customWidth="1"/>
    <col min="23" max="23" width="23.125" style="1" customWidth="1"/>
    <col min="24" max="24" width="57.125" style="36" customWidth="1"/>
    <col min="25" max="25" width="13.625" style="36" customWidth="1"/>
    <col min="26" max="31" width="11.00390625" style="36" customWidth="1"/>
    <col min="32" max="32" width="26.50390625" style="36" customWidth="1"/>
    <col min="33" max="16384" width="11.00390625" style="1" customWidth="1"/>
  </cols>
  <sheetData>
    <row r="1" spans="1:32" s="42" customFormat="1" ht="12.75">
      <c r="A1" s="61" t="s">
        <v>149</v>
      </c>
      <c r="B1" s="43"/>
      <c r="D1" s="44"/>
      <c r="X1" s="45"/>
      <c r="Y1" s="45"/>
      <c r="Z1" s="45"/>
      <c r="AA1" s="45"/>
      <c r="AB1" s="45"/>
      <c r="AC1" s="45"/>
      <c r="AD1" s="45"/>
      <c r="AE1" s="45"/>
      <c r="AF1" s="45"/>
    </row>
    <row r="3" spans="1:32" ht="13.5" customHeight="1">
      <c r="A3" s="56" t="s">
        <v>0</v>
      </c>
      <c r="B3" s="57" t="s">
        <v>1</v>
      </c>
      <c r="C3" s="57" t="s">
        <v>2</v>
      </c>
      <c r="D3" s="59" t="s">
        <v>3</v>
      </c>
      <c r="E3" s="57" t="s">
        <v>102</v>
      </c>
      <c r="F3" s="56" t="s">
        <v>4</v>
      </c>
      <c r="G3" s="47" t="s">
        <v>5</v>
      </c>
      <c r="H3" s="47"/>
      <c r="I3" s="47"/>
      <c r="J3" s="47"/>
      <c r="K3" s="48" t="s">
        <v>6</v>
      </c>
      <c r="L3" s="49"/>
      <c r="M3" s="49"/>
      <c r="N3" s="50"/>
      <c r="O3" s="51" t="s">
        <v>7</v>
      </c>
      <c r="P3" s="51"/>
      <c r="Q3" s="51"/>
      <c r="R3" s="51"/>
      <c r="S3" s="48" t="s">
        <v>8</v>
      </c>
      <c r="T3" s="49"/>
      <c r="U3" s="49"/>
      <c r="V3" s="50"/>
      <c r="W3" s="46" t="s">
        <v>148</v>
      </c>
      <c r="X3" s="39"/>
      <c r="Y3" s="39"/>
      <c r="Z3" s="39"/>
      <c r="AA3" s="39"/>
      <c r="AB3" s="39"/>
      <c r="AC3" s="39"/>
      <c r="AD3" s="39"/>
      <c r="AE3" s="39"/>
      <c r="AF3" s="39"/>
    </row>
    <row r="4" spans="1:32" ht="27" customHeight="1">
      <c r="A4" s="56"/>
      <c r="B4" s="57"/>
      <c r="C4" s="57"/>
      <c r="D4" s="59"/>
      <c r="E4" s="57"/>
      <c r="F4" s="56"/>
      <c r="G4" s="10" t="s">
        <v>9</v>
      </c>
      <c r="H4" s="53" t="s">
        <v>10</v>
      </c>
      <c r="I4" s="54"/>
      <c r="J4" s="55"/>
      <c r="K4" s="58" t="s">
        <v>11</v>
      </c>
      <c r="L4" s="46" t="s">
        <v>12</v>
      </c>
      <c r="M4" s="46" t="s">
        <v>13</v>
      </c>
      <c r="N4" s="46" t="s">
        <v>14</v>
      </c>
      <c r="O4" s="52" t="s">
        <v>11</v>
      </c>
      <c r="P4" s="46" t="s">
        <v>12</v>
      </c>
      <c r="Q4" s="46" t="s">
        <v>13</v>
      </c>
      <c r="R4" s="46" t="s">
        <v>14</v>
      </c>
      <c r="S4" s="52" t="s">
        <v>11</v>
      </c>
      <c r="T4" s="60" t="s">
        <v>12</v>
      </c>
      <c r="U4" s="60" t="s">
        <v>13</v>
      </c>
      <c r="V4" s="60" t="s">
        <v>14</v>
      </c>
      <c r="W4" s="46"/>
      <c r="X4" s="39"/>
      <c r="Y4" s="39"/>
      <c r="Z4" s="39"/>
      <c r="AA4" s="39"/>
      <c r="AB4" s="39"/>
      <c r="AC4" s="39"/>
      <c r="AD4" s="39"/>
      <c r="AE4" s="39"/>
      <c r="AF4" s="39"/>
    </row>
    <row r="5" spans="1:32" ht="36" customHeight="1">
      <c r="A5" s="56"/>
      <c r="B5" s="57"/>
      <c r="C5" s="57"/>
      <c r="D5" s="59"/>
      <c r="E5" s="57"/>
      <c r="F5" s="56"/>
      <c r="G5" s="10" t="s">
        <v>6</v>
      </c>
      <c r="H5" s="10" t="s">
        <v>6</v>
      </c>
      <c r="I5" s="10" t="s">
        <v>7</v>
      </c>
      <c r="J5" s="11" t="s">
        <v>8</v>
      </c>
      <c r="K5" s="58"/>
      <c r="L5" s="46"/>
      <c r="M5" s="46"/>
      <c r="N5" s="46"/>
      <c r="O5" s="52"/>
      <c r="P5" s="46"/>
      <c r="Q5" s="46"/>
      <c r="R5" s="46"/>
      <c r="S5" s="52"/>
      <c r="T5" s="60"/>
      <c r="U5" s="60"/>
      <c r="V5" s="60"/>
      <c r="W5" s="46"/>
      <c r="X5" s="39"/>
      <c r="Y5" s="39"/>
      <c r="Z5" s="39"/>
      <c r="AA5" s="39"/>
      <c r="AB5" s="39"/>
      <c r="AC5" s="39"/>
      <c r="AD5" s="39"/>
      <c r="AE5" s="39"/>
      <c r="AF5" s="39"/>
    </row>
    <row r="6" spans="1:32" ht="14.25">
      <c r="A6" s="5" t="s">
        <v>15</v>
      </c>
      <c r="B6" s="12">
        <v>366</v>
      </c>
      <c r="C6" s="5" t="s">
        <v>16</v>
      </c>
      <c r="D6" s="13" t="s">
        <v>18</v>
      </c>
      <c r="E6" s="5" t="s">
        <v>17</v>
      </c>
      <c r="F6" s="5" t="s">
        <v>19</v>
      </c>
      <c r="G6" s="12"/>
      <c r="H6" s="12"/>
      <c r="I6" s="12" t="s">
        <v>20</v>
      </c>
      <c r="J6" s="12"/>
      <c r="K6" s="19">
        <v>-0.894</v>
      </c>
      <c r="L6" s="19">
        <v>-20.946</v>
      </c>
      <c r="M6" s="19">
        <f>3.457*10^-40</f>
        <v>3.4569999999999994E-40</v>
      </c>
      <c r="N6" s="19">
        <v>0.8</v>
      </c>
      <c r="O6" s="20">
        <v>-0.759</v>
      </c>
      <c r="P6" s="20">
        <v>-12.243</v>
      </c>
      <c r="Q6" s="20">
        <f>2.89*10^-22</f>
        <v>2.8900000000000005E-22</v>
      </c>
      <c r="R6" s="20">
        <v>0.577</v>
      </c>
      <c r="S6" s="20">
        <v>-0.16</v>
      </c>
      <c r="T6" s="20">
        <v>-1.704</v>
      </c>
      <c r="U6" s="20">
        <v>0.091</v>
      </c>
      <c r="V6" s="20">
        <v>0.026</v>
      </c>
      <c r="W6" s="20" t="s">
        <v>126</v>
      </c>
      <c r="X6" s="38"/>
      <c r="Y6" s="38"/>
      <c r="Z6" s="38"/>
      <c r="AA6" s="38"/>
      <c r="AB6" s="38"/>
      <c r="AC6" s="38"/>
      <c r="AD6" s="38"/>
      <c r="AE6" s="38"/>
      <c r="AF6" s="38"/>
    </row>
    <row r="7" spans="1:32" ht="14.25">
      <c r="A7" s="5" t="s">
        <v>15</v>
      </c>
      <c r="B7" s="12">
        <v>369</v>
      </c>
      <c r="C7" s="5" t="s">
        <v>21</v>
      </c>
      <c r="D7" s="13" t="s">
        <v>18</v>
      </c>
      <c r="E7" s="5" t="s">
        <v>22</v>
      </c>
      <c r="F7" s="5" t="s">
        <v>23</v>
      </c>
      <c r="G7" s="12"/>
      <c r="H7" s="12"/>
      <c r="I7" s="12"/>
      <c r="J7" s="12"/>
      <c r="K7" s="20">
        <v>-0.884</v>
      </c>
      <c r="L7" s="20">
        <v>-19.808</v>
      </c>
      <c r="M7" s="20">
        <f>4.502*10^-38</f>
        <v>4.5019999999999997E-38</v>
      </c>
      <c r="N7" s="20">
        <v>0.781</v>
      </c>
      <c r="O7" s="20">
        <v>-0.756</v>
      </c>
      <c r="P7" s="20">
        <v>-12.129</v>
      </c>
      <c r="Q7" s="20">
        <f>5.238*10^-22</f>
        <v>5.2380000000000005E-22</v>
      </c>
      <c r="R7" s="20">
        <v>0.572</v>
      </c>
      <c r="S7" s="20">
        <v>-0.137</v>
      </c>
      <c r="T7" s="20">
        <v>-1.45</v>
      </c>
      <c r="U7" s="20">
        <v>0.15</v>
      </c>
      <c r="V7" s="20">
        <v>0.019</v>
      </c>
      <c r="W7" s="20" t="s">
        <v>126</v>
      </c>
      <c r="X7" s="38"/>
      <c r="Y7" s="38"/>
      <c r="Z7" s="38"/>
      <c r="AA7" s="38"/>
      <c r="AB7" s="38"/>
      <c r="AC7" s="38"/>
      <c r="AD7" s="38"/>
      <c r="AE7" s="38"/>
      <c r="AF7" s="38"/>
    </row>
    <row r="8" spans="1:32" ht="14.25">
      <c r="A8" s="5" t="s">
        <v>15</v>
      </c>
      <c r="B8" s="12">
        <v>375</v>
      </c>
      <c r="C8" s="5" t="s">
        <v>24</v>
      </c>
      <c r="D8" s="13" t="s">
        <v>18</v>
      </c>
      <c r="E8" s="5" t="s">
        <v>25</v>
      </c>
      <c r="F8" s="5" t="s">
        <v>19</v>
      </c>
      <c r="G8" s="12" t="s">
        <v>20</v>
      </c>
      <c r="H8" s="12" t="s">
        <v>20</v>
      </c>
      <c r="I8" s="21"/>
      <c r="J8" s="12"/>
      <c r="K8" s="20">
        <v>-0.898</v>
      </c>
      <c r="L8" s="20">
        <v>-21.431</v>
      </c>
      <c r="M8" s="20">
        <f>4.569*10^-41</f>
        <v>4.569E-41</v>
      </c>
      <c r="N8" s="20">
        <v>0.807</v>
      </c>
      <c r="O8" s="20">
        <v>-0.545</v>
      </c>
      <c r="P8" s="20">
        <v>-6.822</v>
      </c>
      <c r="Q8" s="20">
        <f>5.108*10^-10</f>
        <v>5.108E-10</v>
      </c>
      <c r="R8" s="20">
        <v>0.297</v>
      </c>
      <c r="S8" s="20">
        <v>-0.24</v>
      </c>
      <c r="T8" s="20">
        <v>-2.591</v>
      </c>
      <c r="U8" s="20">
        <v>0.011</v>
      </c>
      <c r="V8" s="20">
        <v>0.058</v>
      </c>
      <c r="W8" s="20" t="s">
        <v>127</v>
      </c>
      <c r="X8" s="38"/>
      <c r="Y8" s="38"/>
      <c r="Z8" s="38"/>
      <c r="AA8" s="38"/>
      <c r="AB8" s="38"/>
      <c r="AC8" s="38"/>
      <c r="AD8" s="38"/>
      <c r="AE8" s="38"/>
      <c r="AF8" s="38"/>
    </row>
    <row r="9" spans="1:32" ht="14.25">
      <c r="A9" s="5" t="s">
        <v>26</v>
      </c>
      <c r="B9" s="12">
        <v>302</v>
      </c>
      <c r="C9" s="5" t="s">
        <v>21</v>
      </c>
      <c r="D9" s="13" t="s">
        <v>27</v>
      </c>
      <c r="E9" s="13" t="s">
        <v>93</v>
      </c>
      <c r="F9" s="5" t="s">
        <v>19</v>
      </c>
      <c r="G9" s="22"/>
      <c r="H9" s="12"/>
      <c r="I9" s="12"/>
      <c r="J9" s="12"/>
      <c r="K9" s="20">
        <v>-0.722</v>
      </c>
      <c r="L9" s="20">
        <v>-10.95</v>
      </c>
      <c r="M9" s="20">
        <f>2.565*10^-19</f>
        <v>2.565E-19</v>
      </c>
      <c r="N9" s="20">
        <v>0.522</v>
      </c>
      <c r="O9" s="20">
        <v>-0.845</v>
      </c>
      <c r="P9" s="20">
        <v>-16.577</v>
      </c>
      <c r="Q9" s="20">
        <f>1.101*10^-31</f>
        <v>1.101E-31</v>
      </c>
      <c r="R9" s="20">
        <v>0.714</v>
      </c>
      <c r="S9" s="20">
        <v>-0.22</v>
      </c>
      <c r="T9" s="20">
        <v>-2.362</v>
      </c>
      <c r="U9" s="20">
        <v>0.02</v>
      </c>
      <c r="V9" s="20">
        <v>0.048</v>
      </c>
      <c r="W9" s="20" t="s">
        <v>128</v>
      </c>
      <c r="X9" s="38"/>
      <c r="Y9" s="38"/>
      <c r="Z9" s="38"/>
      <c r="AA9" s="38"/>
      <c r="AB9" s="38"/>
      <c r="AC9" s="38"/>
      <c r="AD9" s="38"/>
      <c r="AE9" s="38"/>
      <c r="AF9" s="38"/>
    </row>
    <row r="10" spans="1:32" ht="14.25">
      <c r="A10" s="5" t="s">
        <v>26</v>
      </c>
      <c r="B10" s="12">
        <v>314</v>
      </c>
      <c r="C10" s="14" t="s">
        <v>24</v>
      </c>
      <c r="D10" s="13" t="s">
        <v>27</v>
      </c>
      <c r="E10" s="14" t="s">
        <v>94</v>
      </c>
      <c r="F10" s="14" t="s">
        <v>28</v>
      </c>
      <c r="G10" s="22"/>
      <c r="H10" s="12"/>
      <c r="I10" s="12" t="s">
        <v>20</v>
      </c>
      <c r="J10" s="12"/>
      <c r="K10" s="20">
        <v>-0.85</v>
      </c>
      <c r="L10" s="20">
        <v>-16.912</v>
      </c>
      <c r="M10" s="20">
        <f>2.247*10^-32</f>
        <v>2.2469999999999997E-32</v>
      </c>
      <c r="N10" s="20">
        <v>0.722</v>
      </c>
      <c r="O10" s="20">
        <v>-0.859</v>
      </c>
      <c r="P10" s="20">
        <v>-17.599</v>
      </c>
      <c r="Q10" s="20">
        <f>9.09*10^-34</f>
        <v>9.090000000000002E-34</v>
      </c>
      <c r="R10" s="20">
        <v>0.738</v>
      </c>
      <c r="S10" s="20">
        <v>-0.321</v>
      </c>
      <c r="T10" s="20">
        <v>-3.55</v>
      </c>
      <c r="U10" s="20">
        <v>0.0005672</v>
      </c>
      <c r="V10" s="20">
        <v>0.103</v>
      </c>
      <c r="W10" s="20" t="s">
        <v>129</v>
      </c>
      <c r="X10" s="40"/>
      <c r="Y10" s="40"/>
      <c r="Z10" s="40"/>
      <c r="AA10" s="40"/>
      <c r="AB10" s="40"/>
      <c r="AC10" s="40"/>
      <c r="AD10" s="40"/>
      <c r="AE10" s="40"/>
      <c r="AF10" s="40"/>
    </row>
    <row r="11" spans="1:32" ht="14.25">
      <c r="A11" s="5" t="s">
        <v>29</v>
      </c>
      <c r="B11" s="12">
        <v>334</v>
      </c>
      <c r="C11" s="5" t="s">
        <v>24</v>
      </c>
      <c r="D11" s="13" t="s">
        <v>18</v>
      </c>
      <c r="E11" s="5" t="s">
        <v>30</v>
      </c>
      <c r="F11" s="5" t="s">
        <v>31</v>
      </c>
      <c r="G11" s="12"/>
      <c r="H11" s="12" t="s">
        <v>20</v>
      </c>
      <c r="I11" s="12"/>
      <c r="J11" s="12"/>
      <c r="K11" s="20">
        <v>0.957</v>
      </c>
      <c r="L11" s="20">
        <v>34.523</v>
      </c>
      <c r="M11" s="20">
        <f>7.503*10^-61</f>
        <v>7.503000000000001E-61</v>
      </c>
      <c r="N11" s="20">
        <v>0.916</v>
      </c>
      <c r="O11" s="20">
        <v>0.522</v>
      </c>
      <c r="P11" s="20">
        <v>6.415</v>
      </c>
      <c r="Q11" s="20">
        <f>3.647*10^-9</f>
        <v>3.647E-09</v>
      </c>
      <c r="R11" s="20">
        <v>0.272</v>
      </c>
      <c r="S11" s="20">
        <v>0.8</v>
      </c>
      <c r="T11" s="20">
        <v>13.986</v>
      </c>
      <c r="U11" s="20">
        <v>3.6919999999999996E-26</v>
      </c>
      <c r="V11" s="20">
        <v>0.64</v>
      </c>
      <c r="W11" s="20" t="s">
        <v>130</v>
      </c>
      <c r="X11" s="38"/>
      <c r="Y11" s="38"/>
      <c r="Z11" s="38"/>
      <c r="AA11" s="38"/>
      <c r="AB11" s="38"/>
      <c r="AC11" s="38"/>
      <c r="AD11" s="38"/>
      <c r="AE11" s="38"/>
      <c r="AF11" s="38"/>
    </row>
    <row r="12" spans="1:32" ht="14.25">
      <c r="A12" s="5" t="s">
        <v>29</v>
      </c>
      <c r="B12" s="12">
        <v>340</v>
      </c>
      <c r="C12" s="5" t="s">
        <v>21</v>
      </c>
      <c r="D12" s="13" t="s">
        <v>18</v>
      </c>
      <c r="E12" s="5" t="s">
        <v>32</v>
      </c>
      <c r="F12" s="5" t="s">
        <v>19</v>
      </c>
      <c r="G12" s="12" t="s">
        <v>20</v>
      </c>
      <c r="H12" s="21"/>
      <c r="I12" s="21"/>
      <c r="J12" s="12"/>
      <c r="K12" s="20">
        <v>0.947</v>
      </c>
      <c r="L12" s="20">
        <v>31.039</v>
      </c>
      <c r="M12" s="20">
        <f>3.075*10^-56</f>
        <v>3.075E-56</v>
      </c>
      <c r="N12" s="20">
        <v>0.898</v>
      </c>
      <c r="O12" s="20">
        <v>0.505</v>
      </c>
      <c r="P12" s="20">
        <v>6.142</v>
      </c>
      <c r="Q12" s="20">
        <f>1.324*10^-8</f>
        <v>1.3240000000000001E-08</v>
      </c>
      <c r="R12" s="20">
        <v>0.255</v>
      </c>
      <c r="S12" s="20">
        <v>0.773</v>
      </c>
      <c r="T12" s="20">
        <v>12.781</v>
      </c>
      <c r="U12" s="20">
        <v>1.763E-23</v>
      </c>
      <c r="V12" s="20">
        <v>0.598</v>
      </c>
      <c r="W12" s="20" t="s">
        <v>126</v>
      </c>
      <c r="X12" s="38"/>
      <c r="Y12" s="38"/>
      <c r="Z12" s="38"/>
      <c r="AA12" s="38"/>
      <c r="AB12" s="38"/>
      <c r="AC12" s="38"/>
      <c r="AD12" s="38"/>
      <c r="AE12" s="38"/>
      <c r="AF12" s="38"/>
    </row>
    <row r="13" spans="1:32" ht="14.25">
      <c r="A13" s="5" t="s">
        <v>29</v>
      </c>
      <c r="B13" s="12">
        <v>343</v>
      </c>
      <c r="C13" s="5" t="s">
        <v>16</v>
      </c>
      <c r="D13" s="13" t="s">
        <v>18</v>
      </c>
      <c r="E13" s="5" t="s">
        <v>33</v>
      </c>
      <c r="F13" s="5" t="s">
        <v>19</v>
      </c>
      <c r="G13" s="12"/>
      <c r="H13" s="12"/>
      <c r="I13" s="12"/>
      <c r="J13" s="12"/>
      <c r="K13" s="20">
        <v>0.952</v>
      </c>
      <c r="L13" s="20">
        <v>32.533</v>
      </c>
      <c r="M13" s="20">
        <f>2.886*10^-58</f>
        <v>2.8860000000000002E-58</v>
      </c>
      <c r="N13" s="20">
        <v>0.906</v>
      </c>
      <c r="O13" s="20">
        <v>0.504</v>
      </c>
      <c r="P13" s="20">
        <v>6.114</v>
      </c>
      <c r="Q13" s="20">
        <f>1.515*10^-8</f>
        <v>1.515E-08</v>
      </c>
      <c r="R13" s="20">
        <v>0.254</v>
      </c>
      <c r="S13" s="20">
        <v>0.77</v>
      </c>
      <c r="T13" s="20">
        <v>12.666</v>
      </c>
      <c r="U13" s="20">
        <v>3.2000000000000003E-23</v>
      </c>
      <c r="V13" s="20">
        <v>0.593</v>
      </c>
      <c r="W13" s="20" t="s">
        <v>126</v>
      </c>
      <c r="X13" s="38"/>
      <c r="Y13" s="38"/>
      <c r="Z13" s="38"/>
      <c r="AA13" s="38"/>
      <c r="AB13" s="38"/>
      <c r="AC13" s="38"/>
      <c r="AD13" s="38"/>
      <c r="AE13" s="38"/>
      <c r="AF13" s="38"/>
    </row>
    <row r="14" spans="1:32" ht="14.25">
      <c r="A14" s="5" t="s">
        <v>29</v>
      </c>
      <c r="B14" s="12">
        <v>349</v>
      </c>
      <c r="C14" s="5" t="s">
        <v>34</v>
      </c>
      <c r="D14" s="13" t="s">
        <v>18</v>
      </c>
      <c r="E14" s="5" t="s">
        <v>35</v>
      </c>
      <c r="F14" s="5" t="s">
        <v>19</v>
      </c>
      <c r="G14" s="12"/>
      <c r="H14" s="12"/>
      <c r="I14" s="12"/>
      <c r="J14" s="12"/>
      <c r="K14" s="20">
        <v>0.924</v>
      </c>
      <c r="L14" s="20">
        <v>25.258</v>
      </c>
      <c r="M14" s="20">
        <f>1.338*10^-47</f>
        <v>1.338E-47</v>
      </c>
      <c r="N14" s="20">
        <v>0.853</v>
      </c>
      <c r="O14" s="20">
        <v>0.453</v>
      </c>
      <c r="P14" s="20">
        <v>5.329</v>
      </c>
      <c r="Q14" s="20">
        <f>5.301*10^-7</f>
        <v>5.301E-07</v>
      </c>
      <c r="R14" s="20">
        <v>0.205</v>
      </c>
      <c r="S14" s="20">
        <v>0.786</v>
      </c>
      <c r="T14" s="20">
        <v>13.326</v>
      </c>
      <c r="U14" s="20">
        <v>1.0660000000000001E-24</v>
      </c>
      <c r="V14" s="20">
        <v>0.617</v>
      </c>
      <c r="W14" s="20" t="s">
        <v>126</v>
      </c>
      <c r="X14" s="38"/>
      <c r="Y14" s="38"/>
      <c r="Z14" s="38"/>
      <c r="AA14" s="38"/>
      <c r="AB14" s="38"/>
      <c r="AC14" s="38"/>
      <c r="AD14" s="38"/>
      <c r="AE14" s="38"/>
      <c r="AF14" s="38"/>
    </row>
    <row r="15" spans="1:32" ht="14.25">
      <c r="A15" s="5" t="s">
        <v>29</v>
      </c>
      <c r="B15" s="12">
        <v>352</v>
      </c>
      <c r="C15" s="5" t="s">
        <v>36</v>
      </c>
      <c r="D15" s="13" t="s">
        <v>18</v>
      </c>
      <c r="E15" s="5" t="s">
        <v>37</v>
      </c>
      <c r="F15" s="5" t="s">
        <v>19</v>
      </c>
      <c r="G15" s="12"/>
      <c r="H15" s="12"/>
      <c r="I15" s="12"/>
      <c r="J15" s="12"/>
      <c r="K15" s="20">
        <v>0.955</v>
      </c>
      <c r="L15" s="20">
        <v>33.809</v>
      </c>
      <c r="M15" s="20">
        <f>6.131*10^-60</f>
        <v>6.131000000000001E-60</v>
      </c>
      <c r="N15" s="20">
        <v>0.912</v>
      </c>
      <c r="O15" s="20">
        <v>0.512</v>
      </c>
      <c r="P15" s="20">
        <v>6.253</v>
      </c>
      <c r="Q15" s="20">
        <f>7.863*10^-9</f>
        <v>7.863E-09</v>
      </c>
      <c r="R15" s="20">
        <v>0.262</v>
      </c>
      <c r="S15" s="20">
        <v>0.802</v>
      </c>
      <c r="T15" s="20">
        <v>14.079</v>
      </c>
      <c r="U15" s="20">
        <v>2.3069999999999998E-26</v>
      </c>
      <c r="V15" s="20">
        <v>0.643</v>
      </c>
      <c r="W15" s="20" t="s">
        <v>126</v>
      </c>
      <c r="X15" s="38"/>
      <c r="Y15" s="38"/>
      <c r="Z15" s="38"/>
      <c r="AA15" s="38"/>
      <c r="AB15" s="38"/>
      <c r="AC15" s="38"/>
      <c r="AD15" s="38"/>
      <c r="AE15" s="38"/>
      <c r="AF15" s="38"/>
    </row>
    <row r="16" spans="1:32" ht="14.25">
      <c r="A16" s="5" t="s">
        <v>29</v>
      </c>
      <c r="B16" s="12">
        <v>362</v>
      </c>
      <c r="C16" s="5" t="s">
        <v>38</v>
      </c>
      <c r="D16" s="13" t="s">
        <v>18</v>
      </c>
      <c r="E16" s="5" t="s">
        <v>39</v>
      </c>
      <c r="F16" s="5" t="s">
        <v>40</v>
      </c>
      <c r="G16" s="12"/>
      <c r="H16" s="12"/>
      <c r="I16" s="12"/>
      <c r="J16" s="12"/>
      <c r="K16" s="20">
        <v>0.946</v>
      </c>
      <c r="L16" s="20">
        <v>30.58</v>
      </c>
      <c r="M16" s="20">
        <f>1.337*10^-55</f>
        <v>1.337E-55</v>
      </c>
      <c r="N16" s="20">
        <v>0.895</v>
      </c>
      <c r="O16" s="20">
        <v>0.512</v>
      </c>
      <c r="P16" s="20">
        <v>6.255</v>
      </c>
      <c r="Q16" s="20">
        <f>7.783*10^-9</f>
        <v>7.783000000000001E-09</v>
      </c>
      <c r="R16" s="20">
        <v>0.262</v>
      </c>
      <c r="S16" s="20">
        <v>0.793</v>
      </c>
      <c r="T16" s="20">
        <v>13.664</v>
      </c>
      <c r="U16" s="20">
        <v>1.8939999999999997E-25</v>
      </c>
      <c r="V16" s="20">
        <v>0.629</v>
      </c>
      <c r="W16" s="20" t="s">
        <v>126</v>
      </c>
      <c r="X16" s="38"/>
      <c r="Y16" s="38"/>
      <c r="Z16" s="38"/>
      <c r="AA16" s="38"/>
      <c r="AB16" s="38"/>
      <c r="AC16" s="38"/>
      <c r="AD16" s="38"/>
      <c r="AE16" s="38"/>
      <c r="AF16" s="38"/>
    </row>
    <row r="17" spans="1:32" ht="14.25">
      <c r="A17" s="5" t="s">
        <v>29</v>
      </c>
      <c r="B17" s="12">
        <v>366</v>
      </c>
      <c r="C17" s="5" t="s">
        <v>41</v>
      </c>
      <c r="D17" s="13" t="s">
        <v>18</v>
      </c>
      <c r="E17" s="5" t="s">
        <v>42</v>
      </c>
      <c r="F17" s="5" t="s">
        <v>43</v>
      </c>
      <c r="G17" s="12"/>
      <c r="H17" s="12"/>
      <c r="I17" s="12"/>
      <c r="J17" s="12"/>
      <c r="K17" s="20">
        <v>0.905</v>
      </c>
      <c r="L17" s="20">
        <v>22.27</v>
      </c>
      <c r="M17" s="20">
        <f>1.464*10^-42</f>
        <v>1.464E-42</v>
      </c>
      <c r="N17" s="20">
        <v>0.818</v>
      </c>
      <c r="O17" s="20">
        <v>0.49</v>
      </c>
      <c r="P17" s="20">
        <v>5.896</v>
      </c>
      <c r="Q17" s="20">
        <f>4.158*10^-8</f>
        <v>4.1580000000000006E-08</v>
      </c>
      <c r="R17" s="20">
        <v>0.24</v>
      </c>
      <c r="S17" s="20">
        <v>0.839</v>
      </c>
      <c r="T17" s="20">
        <v>16.202</v>
      </c>
      <c r="U17" s="20">
        <v>6.591000000000001E-31</v>
      </c>
      <c r="V17" s="20">
        <v>0.705</v>
      </c>
      <c r="W17" s="20" t="s">
        <v>126</v>
      </c>
      <c r="X17" s="38"/>
      <c r="Y17" s="38"/>
      <c r="Z17" s="38"/>
      <c r="AA17" s="38"/>
      <c r="AB17" s="38"/>
      <c r="AC17" s="38"/>
      <c r="AD17" s="38"/>
      <c r="AE17" s="38"/>
      <c r="AF17" s="38"/>
    </row>
    <row r="18" spans="1:32" ht="14.25">
      <c r="A18" s="5" t="s">
        <v>29</v>
      </c>
      <c r="B18" s="12">
        <v>368</v>
      </c>
      <c r="C18" s="5" t="s">
        <v>44</v>
      </c>
      <c r="D18" s="13" t="s">
        <v>18</v>
      </c>
      <c r="E18" s="5" t="s">
        <v>45</v>
      </c>
      <c r="F18" s="5" t="s">
        <v>19</v>
      </c>
      <c r="G18" s="12"/>
      <c r="H18" s="12"/>
      <c r="I18" s="12"/>
      <c r="J18" s="12"/>
      <c r="K18" s="20">
        <v>0.897</v>
      </c>
      <c r="L18" s="20">
        <v>21.308</v>
      </c>
      <c r="M18" s="20">
        <f>7.62*10^-41</f>
        <v>7.62E-41</v>
      </c>
      <c r="N18" s="20">
        <v>0.805</v>
      </c>
      <c r="O18" s="20">
        <v>0.532</v>
      </c>
      <c r="P18" s="20">
        <v>6.593</v>
      </c>
      <c r="Q18" s="20">
        <f>1.549*10^-9</f>
        <v>1.5490000000000001E-09</v>
      </c>
      <c r="R18" s="20">
        <v>0.283</v>
      </c>
      <c r="S18" s="20">
        <v>0.692</v>
      </c>
      <c r="T18" s="20">
        <v>10.04</v>
      </c>
      <c r="U18" s="20">
        <v>3.1540000000000003E-17</v>
      </c>
      <c r="V18" s="20">
        <v>0.478</v>
      </c>
      <c r="W18" s="20" t="s">
        <v>126</v>
      </c>
      <c r="X18" s="38"/>
      <c r="Y18" s="38"/>
      <c r="Z18" s="38"/>
      <c r="AA18" s="38"/>
      <c r="AB18" s="38"/>
      <c r="AC18" s="38"/>
      <c r="AD18" s="38"/>
      <c r="AE18" s="38"/>
      <c r="AF18" s="38"/>
    </row>
    <row r="19" spans="1:32" ht="14.25">
      <c r="A19" s="15" t="s">
        <v>29</v>
      </c>
      <c r="B19" s="12">
        <v>375</v>
      </c>
      <c r="C19" s="15" t="s">
        <v>46</v>
      </c>
      <c r="D19" s="13" t="s">
        <v>18</v>
      </c>
      <c r="E19" s="16" t="s">
        <v>47</v>
      </c>
      <c r="F19" s="5" t="s">
        <v>19</v>
      </c>
      <c r="G19" s="23"/>
      <c r="H19" s="24"/>
      <c r="I19" s="24"/>
      <c r="J19" s="12"/>
      <c r="K19" s="20">
        <v>0.905</v>
      </c>
      <c r="L19" s="20">
        <v>22.255</v>
      </c>
      <c r="M19" s="20">
        <f>1.555*10^-42</f>
        <v>1.555E-42</v>
      </c>
      <c r="N19" s="20">
        <v>0.818</v>
      </c>
      <c r="O19" s="20">
        <v>0.467</v>
      </c>
      <c r="P19" s="20">
        <v>5.538</v>
      </c>
      <c r="Q19" s="20">
        <f>2.109*10^-7</f>
        <v>2.109E-07</v>
      </c>
      <c r="R19" s="20">
        <v>0.218</v>
      </c>
      <c r="S19" s="20">
        <v>0.575</v>
      </c>
      <c r="T19" s="20">
        <v>7.378</v>
      </c>
      <c r="U19" s="20">
        <v>3.233E-11</v>
      </c>
      <c r="V19" s="20">
        <v>0.331</v>
      </c>
      <c r="W19" s="20" t="s">
        <v>126</v>
      </c>
      <c r="X19" s="38"/>
      <c r="Y19" s="38"/>
      <c r="Z19" s="38"/>
      <c r="AA19" s="38"/>
      <c r="AB19" s="38"/>
      <c r="AC19" s="38"/>
      <c r="AD19" s="38"/>
      <c r="AE19" s="38"/>
      <c r="AF19" s="38"/>
    </row>
    <row r="20" spans="1:32" ht="14.25">
      <c r="A20" s="15" t="s">
        <v>29</v>
      </c>
      <c r="B20" s="12">
        <v>379</v>
      </c>
      <c r="C20" s="15" t="s">
        <v>48</v>
      </c>
      <c r="D20" s="13" t="s">
        <v>18</v>
      </c>
      <c r="E20" s="16" t="s">
        <v>49</v>
      </c>
      <c r="F20" s="5" t="s">
        <v>19</v>
      </c>
      <c r="G20" s="23"/>
      <c r="H20" s="24"/>
      <c r="I20" s="24"/>
      <c r="J20" s="12"/>
      <c r="K20" s="20">
        <v>0.839</v>
      </c>
      <c r="L20" s="20">
        <v>16.194</v>
      </c>
      <c r="M20" s="20">
        <f>6.854*10^-31</f>
        <v>6.854000000000001E-31</v>
      </c>
      <c r="N20" s="20">
        <v>0.704</v>
      </c>
      <c r="O20" s="20">
        <v>0.484</v>
      </c>
      <c r="P20" s="20">
        <v>5.799</v>
      </c>
      <c r="Q20" s="20">
        <f>6.477*10^-8</f>
        <v>6.477E-08</v>
      </c>
      <c r="R20" s="20">
        <v>0.234</v>
      </c>
      <c r="S20" s="20">
        <v>0.596</v>
      </c>
      <c r="T20" s="20">
        <v>7.792</v>
      </c>
      <c r="U20" s="20">
        <v>3.984E-12</v>
      </c>
      <c r="V20" s="20">
        <v>0.356</v>
      </c>
      <c r="W20" s="20" t="s">
        <v>126</v>
      </c>
      <c r="X20" s="38"/>
      <c r="Y20" s="38"/>
      <c r="Z20" s="38"/>
      <c r="AA20" s="38"/>
      <c r="AB20" s="38"/>
      <c r="AC20" s="38"/>
      <c r="AD20" s="38"/>
      <c r="AE20" s="38"/>
      <c r="AF20" s="38"/>
    </row>
    <row r="21" spans="1:32" ht="14.25">
      <c r="A21" s="5" t="s">
        <v>50</v>
      </c>
      <c r="B21" s="12">
        <v>333</v>
      </c>
      <c r="C21" s="5" t="s">
        <v>24</v>
      </c>
      <c r="D21" s="13" t="s">
        <v>18</v>
      </c>
      <c r="E21" s="5" t="s">
        <v>51</v>
      </c>
      <c r="F21" s="5" t="s">
        <v>19</v>
      </c>
      <c r="G21" s="12"/>
      <c r="H21" s="12"/>
      <c r="I21" s="12"/>
      <c r="J21" s="12"/>
      <c r="K21" s="20">
        <v>0.866</v>
      </c>
      <c r="L21" s="20">
        <v>18.184</v>
      </c>
      <c r="M21" s="20">
        <f>6.21*10^-35</f>
        <v>6.21E-35</v>
      </c>
      <c r="N21" s="20">
        <v>0.75</v>
      </c>
      <c r="O21" s="20">
        <v>0.922</v>
      </c>
      <c r="P21" s="20">
        <v>24.965</v>
      </c>
      <c r="Q21" s="20">
        <f>3.998*10^-47</f>
        <v>3.998E-47</v>
      </c>
      <c r="R21" s="20">
        <v>0.85</v>
      </c>
      <c r="S21" s="20">
        <v>0.769</v>
      </c>
      <c r="T21" s="20">
        <v>12.612</v>
      </c>
      <c r="U21" s="20">
        <v>4.241E-23</v>
      </c>
      <c r="V21" s="20">
        <v>0.591</v>
      </c>
      <c r="W21" s="20" t="s">
        <v>126</v>
      </c>
      <c r="X21" s="38"/>
      <c r="Y21" s="38"/>
      <c r="Z21" s="38"/>
      <c r="AA21" s="38"/>
      <c r="AB21" s="38"/>
      <c r="AC21" s="38"/>
      <c r="AD21" s="38"/>
      <c r="AE21" s="38"/>
      <c r="AF21" s="38"/>
    </row>
    <row r="22" spans="1:32" ht="14.25">
      <c r="A22" s="5" t="s">
        <v>50</v>
      </c>
      <c r="B22" s="12">
        <v>335</v>
      </c>
      <c r="C22" s="5" t="s">
        <v>21</v>
      </c>
      <c r="D22" s="13" t="s">
        <v>18</v>
      </c>
      <c r="E22" s="5" t="s">
        <v>52</v>
      </c>
      <c r="F22" s="5" t="s">
        <v>19</v>
      </c>
      <c r="G22" s="12"/>
      <c r="H22" s="12"/>
      <c r="I22" s="12"/>
      <c r="J22" s="12"/>
      <c r="K22" s="20">
        <v>0.874</v>
      </c>
      <c r="L22" s="20">
        <v>18.88</v>
      </c>
      <c r="M22" s="20">
        <f>2.683*10^-36</f>
        <v>2.6829999999999996E-36</v>
      </c>
      <c r="N22" s="20">
        <v>0.764</v>
      </c>
      <c r="O22" s="20">
        <v>0.903</v>
      </c>
      <c r="P22" s="20">
        <v>22</v>
      </c>
      <c r="Q22" s="20">
        <f>4.382*10^-42</f>
        <v>4.381999999999999E-42</v>
      </c>
      <c r="R22" s="20">
        <v>0.815</v>
      </c>
      <c r="S22" s="20">
        <v>0.768</v>
      </c>
      <c r="T22" s="20">
        <v>12.572</v>
      </c>
      <c r="U22" s="20">
        <v>5.206000000000001E-23</v>
      </c>
      <c r="V22" s="20">
        <v>0.59</v>
      </c>
      <c r="W22" s="20" t="s">
        <v>126</v>
      </c>
      <c r="X22" s="38"/>
      <c r="Y22" s="38"/>
      <c r="Z22" s="38"/>
      <c r="AA22" s="38"/>
      <c r="AB22" s="38"/>
      <c r="AC22" s="38"/>
      <c r="AD22" s="38"/>
      <c r="AE22" s="38"/>
      <c r="AF22" s="38"/>
    </row>
    <row r="23" spans="1:32" ht="14.25">
      <c r="A23" s="5" t="s">
        <v>50</v>
      </c>
      <c r="B23" s="12">
        <v>340</v>
      </c>
      <c r="C23" s="5" t="s">
        <v>16</v>
      </c>
      <c r="D23" s="13" t="s">
        <v>18</v>
      </c>
      <c r="E23" s="5" t="s">
        <v>53</v>
      </c>
      <c r="F23" s="5" t="s">
        <v>19</v>
      </c>
      <c r="G23" s="12"/>
      <c r="H23" s="12"/>
      <c r="I23" s="12"/>
      <c r="J23" s="12"/>
      <c r="K23" s="20">
        <v>0.908</v>
      </c>
      <c r="L23" s="20">
        <v>22.747</v>
      </c>
      <c r="M23" s="20">
        <f>2.144*10^-43</f>
        <v>2.1440000000000002E-43</v>
      </c>
      <c r="N23" s="20">
        <v>0.825</v>
      </c>
      <c r="O23" s="20">
        <v>0.896</v>
      </c>
      <c r="P23" s="20">
        <v>21.181</v>
      </c>
      <c r="Q23" s="20">
        <f>1.29*10^-40</f>
        <v>1.29E-40</v>
      </c>
      <c r="R23" s="20">
        <v>0.803</v>
      </c>
      <c r="S23" s="20">
        <v>0.861</v>
      </c>
      <c r="T23" s="20">
        <v>17.733</v>
      </c>
      <c r="U23" s="20">
        <v>4.899000000000001E-34</v>
      </c>
      <c r="V23" s="20">
        <v>0.741</v>
      </c>
      <c r="W23" s="20" t="s">
        <v>126</v>
      </c>
      <c r="X23" s="38"/>
      <c r="Y23" s="38"/>
      <c r="Z23" s="38"/>
      <c r="AA23" s="38"/>
      <c r="AB23" s="38"/>
      <c r="AC23" s="38"/>
      <c r="AD23" s="38"/>
      <c r="AE23" s="38"/>
      <c r="AF23" s="38"/>
    </row>
    <row r="24" spans="1:32" ht="14.25">
      <c r="A24" s="5" t="s">
        <v>50</v>
      </c>
      <c r="B24" s="12">
        <v>345</v>
      </c>
      <c r="C24" s="5" t="s">
        <v>34</v>
      </c>
      <c r="D24" s="13" t="s">
        <v>18</v>
      </c>
      <c r="E24" s="5" t="s">
        <v>54</v>
      </c>
      <c r="F24" s="5" t="s">
        <v>19</v>
      </c>
      <c r="G24" s="12"/>
      <c r="H24" s="12"/>
      <c r="I24" s="12"/>
      <c r="J24" s="12"/>
      <c r="K24" s="20">
        <v>0.91</v>
      </c>
      <c r="L24" s="20">
        <v>22.975</v>
      </c>
      <c r="M24" s="20">
        <f>8.661*10^-44</f>
        <v>8.660999999999999E-44</v>
      </c>
      <c r="N24" s="20">
        <v>0.828</v>
      </c>
      <c r="O24" s="20">
        <v>0.923</v>
      </c>
      <c r="P24" s="20">
        <v>25.238</v>
      </c>
      <c r="Q24" s="20">
        <f>1.446*10^-47</f>
        <v>1.4459999999999998E-47</v>
      </c>
      <c r="R24" s="20">
        <v>0.853</v>
      </c>
      <c r="S24" s="20">
        <v>0.803</v>
      </c>
      <c r="T24" s="20">
        <v>14.14</v>
      </c>
      <c r="U24" s="20">
        <v>1.699E-26</v>
      </c>
      <c r="V24" s="20">
        <v>0.645</v>
      </c>
      <c r="W24" s="20" t="s">
        <v>126</v>
      </c>
      <c r="X24" s="38"/>
      <c r="Y24" s="38"/>
      <c r="Z24" s="38"/>
      <c r="AA24" s="38"/>
      <c r="AB24" s="38"/>
      <c r="AC24" s="38"/>
      <c r="AD24" s="38"/>
      <c r="AE24" s="38"/>
      <c r="AF24" s="38"/>
    </row>
    <row r="25" spans="1:32" ht="14.25">
      <c r="A25" s="5" t="s">
        <v>50</v>
      </c>
      <c r="B25" s="12">
        <v>350</v>
      </c>
      <c r="C25" s="5" t="s">
        <v>36</v>
      </c>
      <c r="D25" s="13" t="s">
        <v>18</v>
      </c>
      <c r="E25" s="5" t="s">
        <v>55</v>
      </c>
      <c r="F25" s="5" t="s">
        <v>56</v>
      </c>
      <c r="G25" s="12"/>
      <c r="H25" s="12"/>
      <c r="I25" s="12"/>
      <c r="J25" s="12"/>
      <c r="K25" s="20">
        <v>0.942</v>
      </c>
      <c r="L25" s="20">
        <v>29.302</v>
      </c>
      <c r="M25" s="20">
        <f>8.811*10^-54</f>
        <v>8.810999999999999E-54</v>
      </c>
      <c r="N25" s="20">
        <v>0.886</v>
      </c>
      <c r="O25" s="20">
        <v>0.909</v>
      </c>
      <c r="P25" s="20">
        <v>22.87</v>
      </c>
      <c r="Q25" s="20">
        <f>1.314*10^-43</f>
        <v>1.3140000000000002E-43</v>
      </c>
      <c r="R25" s="20">
        <v>0.826</v>
      </c>
      <c r="S25" s="20">
        <v>0.808</v>
      </c>
      <c r="T25" s="20">
        <v>14.407</v>
      </c>
      <c r="U25" s="20">
        <v>4.4310000000000004E-27</v>
      </c>
      <c r="V25" s="20">
        <v>0.654</v>
      </c>
      <c r="W25" s="20" t="s">
        <v>126</v>
      </c>
      <c r="X25" s="38"/>
      <c r="Y25" s="38"/>
      <c r="Z25" s="38"/>
      <c r="AA25" s="38"/>
      <c r="AB25" s="38"/>
      <c r="AC25" s="38"/>
      <c r="AD25" s="38"/>
      <c r="AE25" s="38"/>
      <c r="AF25" s="38"/>
    </row>
    <row r="26" spans="1:32" ht="14.25">
      <c r="A26" s="5" t="s">
        <v>50</v>
      </c>
      <c r="B26" s="12">
        <v>353</v>
      </c>
      <c r="C26" s="5" t="s">
        <v>38</v>
      </c>
      <c r="D26" s="13" t="s">
        <v>18</v>
      </c>
      <c r="E26" s="5" t="s">
        <v>57</v>
      </c>
      <c r="F26" s="5" t="s">
        <v>19</v>
      </c>
      <c r="G26" s="12"/>
      <c r="H26" s="12"/>
      <c r="I26" s="12"/>
      <c r="J26" s="12"/>
      <c r="K26" s="20">
        <v>0.927</v>
      </c>
      <c r="L26" s="20">
        <v>25.876</v>
      </c>
      <c r="M26" s="20">
        <f>1.374*10^-48</f>
        <v>1.374E-48</v>
      </c>
      <c r="N26" s="20">
        <v>0.859</v>
      </c>
      <c r="O26" s="20">
        <v>0.914</v>
      </c>
      <c r="P26" s="20">
        <v>23.564</v>
      </c>
      <c r="Q26" s="20">
        <f>8.529*10^-45</f>
        <v>8.529000000000001E-45</v>
      </c>
      <c r="R26" s="20">
        <v>0.835</v>
      </c>
      <c r="S26" s="20">
        <v>0.833</v>
      </c>
      <c r="T26" s="20">
        <v>15.761</v>
      </c>
      <c r="U26" s="20">
        <v>5.5369999999999994E-30</v>
      </c>
      <c r="V26" s="20">
        <v>0.693</v>
      </c>
      <c r="W26" s="20" t="s">
        <v>126</v>
      </c>
      <c r="X26" s="38"/>
      <c r="Y26" s="38"/>
      <c r="Z26" s="38"/>
      <c r="AA26" s="38"/>
      <c r="AB26" s="38"/>
      <c r="AC26" s="38"/>
      <c r="AD26" s="38"/>
      <c r="AE26" s="38"/>
      <c r="AF26" s="38"/>
    </row>
    <row r="27" spans="1:32" ht="14.25">
      <c r="A27" s="5" t="s">
        <v>50</v>
      </c>
      <c r="B27" s="12">
        <v>360</v>
      </c>
      <c r="C27" s="5" t="s">
        <v>41</v>
      </c>
      <c r="D27" s="13" t="s">
        <v>18</v>
      </c>
      <c r="E27" s="5" t="s">
        <v>58</v>
      </c>
      <c r="F27" s="5" t="s">
        <v>19</v>
      </c>
      <c r="G27" s="12" t="s">
        <v>20</v>
      </c>
      <c r="H27" s="21"/>
      <c r="I27" s="21"/>
      <c r="J27" s="12"/>
      <c r="K27" s="20">
        <v>0.919</v>
      </c>
      <c r="L27" s="20">
        <v>24.503</v>
      </c>
      <c r="M27" s="20">
        <f>2.289*10^-46</f>
        <v>2.289E-46</v>
      </c>
      <c r="N27" s="20">
        <v>0.845</v>
      </c>
      <c r="O27" s="20">
        <v>0.895</v>
      </c>
      <c r="P27" s="20">
        <v>21.025</v>
      </c>
      <c r="Q27" s="20">
        <f>2.487*10^-40</f>
        <v>2.487E-40</v>
      </c>
      <c r="R27" s="20">
        <v>0.801</v>
      </c>
      <c r="S27" s="20">
        <v>0.848</v>
      </c>
      <c r="T27" s="20">
        <v>16.78</v>
      </c>
      <c r="U27" s="20">
        <v>4.2E-32</v>
      </c>
      <c r="V27" s="20">
        <v>0.719</v>
      </c>
      <c r="W27" s="20" t="s">
        <v>126</v>
      </c>
      <c r="X27" s="38"/>
      <c r="Y27" s="38"/>
      <c r="Z27" s="38"/>
      <c r="AA27" s="38"/>
      <c r="AB27" s="38"/>
      <c r="AC27" s="38"/>
      <c r="AD27" s="38"/>
      <c r="AE27" s="38"/>
      <c r="AF27" s="38"/>
    </row>
    <row r="28" spans="1:32" ht="14.25">
      <c r="A28" s="5" t="s">
        <v>50</v>
      </c>
      <c r="B28" s="12">
        <v>363</v>
      </c>
      <c r="C28" s="5" t="s">
        <v>44</v>
      </c>
      <c r="D28" s="13" t="s">
        <v>18</v>
      </c>
      <c r="E28" s="5" t="s">
        <v>59</v>
      </c>
      <c r="F28" s="5" t="s">
        <v>19</v>
      </c>
      <c r="G28" s="12"/>
      <c r="H28" s="12" t="s">
        <v>20</v>
      </c>
      <c r="I28" s="12"/>
      <c r="J28" s="12"/>
      <c r="K28" s="20">
        <v>0.864</v>
      </c>
      <c r="L28" s="20">
        <v>18.027</v>
      </c>
      <c r="M28" s="20">
        <f>1.271*10^-34</f>
        <v>1.2710000000000001E-34</v>
      </c>
      <c r="N28" s="20">
        <v>0.747</v>
      </c>
      <c r="O28" s="20">
        <v>0.884</v>
      </c>
      <c r="P28" s="20">
        <v>19.784</v>
      </c>
      <c r="Q28" s="20">
        <f>5.006*10^-38</f>
        <v>5.006E-38</v>
      </c>
      <c r="R28" s="20">
        <v>0.781</v>
      </c>
      <c r="S28" s="20">
        <v>0.859</v>
      </c>
      <c r="T28" s="20">
        <v>17.607</v>
      </c>
      <c r="U28" s="20">
        <v>8.743000000000002E-34</v>
      </c>
      <c r="V28" s="20">
        <v>0.738</v>
      </c>
      <c r="W28" s="20" t="s">
        <v>126</v>
      </c>
      <c r="X28" s="38"/>
      <c r="Y28" s="38"/>
      <c r="Z28" s="38"/>
      <c r="AA28" s="38"/>
      <c r="AB28" s="38"/>
      <c r="AC28" s="38"/>
      <c r="AD28" s="38"/>
      <c r="AE28" s="38"/>
      <c r="AF28" s="38"/>
    </row>
    <row r="29" spans="1:32" ht="14.25">
      <c r="A29" s="5" t="s">
        <v>60</v>
      </c>
      <c r="B29" s="12">
        <v>429</v>
      </c>
      <c r="C29" s="17" t="s">
        <v>46</v>
      </c>
      <c r="D29" s="13" t="s">
        <v>18</v>
      </c>
      <c r="E29" s="18" t="s">
        <v>61</v>
      </c>
      <c r="F29" s="5" t="s">
        <v>19</v>
      </c>
      <c r="G29" s="12"/>
      <c r="H29" s="12"/>
      <c r="I29" s="12"/>
      <c r="J29" s="12"/>
      <c r="K29" s="20">
        <v>0.963</v>
      </c>
      <c r="L29" s="20">
        <v>37.706</v>
      </c>
      <c r="M29" s="20">
        <f>9.724*10^-65</f>
        <v>9.724E-65</v>
      </c>
      <c r="N29" s="20">
        <v>0.928</v>
      </c>
      <c r="O29" s="20">
        <v>0.923</v>
      </c>
      <c r="P29" s="20">
        <v>25.096</v>
      </c>
      <c r="Q29" s="20">
        <f>2.456*10^-47</f>
        <v>2.4559999999999997E-47</v>
      </c>
      <c r="R29" s="20">
        <v>0.851</v>
      </c>
      <c r="S29" s="20">
        <v>0.794</v>
      </c>
      <c r="T29" s="20">
        <v>13.705</v>
      </c>
      <c r="U29" s="20">
        <v>1.534E-25</v>
      </c>
      <c r="V29" s="20">
        <v>0.631</v>
      </c>
      <c r="W29" s="20" t="s">
        <v>131</v>
      </c>
      <c r="X29" s="38"/>
      <c r="Y29" s="38"/>
      <c r="Z29" s="38"/>
      <c r="AA29" s="38"/>
      <c r="AB29" s="38"/>
      <c r="AC29" s="38"/>
      <c r="AD29" s="38"/>
      <c r="AE29" s="38"/>
      <c r="AF29" s="38"/>
    </row>
    <row r="30" spans="1:32" s="32" customFormat="1" ht="14.25">
      <c r="A30" s="25" t="s">
        <v>92</v>
      </c>
      <c r="B30" s="26" t="s">
        <v>95</v>
      </c>
      <c r="C30" s="27" t="s">
        <v>97</v>
      </c>
      <c r="D30" s="13" t="s">
        <v>18</v>
      </c>
      <c r="E30" s="28" t="s">
        <v>99</v>
      </c>
      <c r="F30" s="5" t="s">
        <v>19</v>
      </c>
      <c r="G30" s="26"/>
      <c r="H30" s="26"/>
      <c r="I30" s="26" t="s">
        <v>101</v>
      </c>
      <c r="J30" s="26"/>
      <c r="K30" s="30" t="s">
        <v>104</v>
      </c>
      <c r="L30" s="30" t="s">
        <v>104</v>
      </c>
      <c r="M30" s="30" t="s">
        <v>104</v>
      </c>
      <c r="N30" s="30" t="s">
        <v>104</v>
      </c>
      <c r="O30" s="35">
        <v>0.923</v>
      </c>
      <c r="P30" s="35">
        <v>25.242</v>
      </c>
      <c r="Q30" s="31">
        <f>1.421E-47</f>
        <v>1.421E-47</v>
      </c>
      <c r="R30" s="35">
        <v>0.853</v>
      </c>
      <c r="S30" s="30" t="s">
        <v>104</v>
      </c>
      <c r="T30" s="30" t="s">
        <v>104</v>
      </c>
      <c r="U30" s="30" t="s">
        <v>104</v>
      </c>
      <c r="V30" s="30" t="s">
        <v>104</v>
      </c>
      <c r="W30" s="30" t="s">
        <v>132</v>
      </c>
      <c r="X30" s="41"/>
      <c r="Y30" s="41"/>
      <c r="Z30" s="41"/>
      <c r="AA30" s="41"/>
      <c r="AB30" s="41"/>
      <c r="AC30" s="41"/>
      <c r="AD30" s="41"/>
      <c r="AE30" s="41"/>
      <c r="AF30" s="41"/>
    </row>
    <row r="31" spans="1:32" ht="14.25">
      <c r="A31" s="5" t="s">
        <v>60</v>
      </c>
      <c r="B31" s="12">
        <v>432</v>
      </c>
      <c r="C31" s="17" t="s">
        <v>44</v>
      </c>
      <c r="D31" s="13" t="s">
        <v>18</v>
      </c>
      <c r="E31" s="18" t="s">
        <v>62</v>
      </c>
      <c r="F31" s="5" t="s">
        <v>19</v>
      </c>
      <c r="G31" s="12"/>
      <c r="H31" s="12"/>
      <c r="I31" s="12"/>
      <c r="J31" s="12"/>
      <c r="K31" s="20">
        <v>0.937</v>
      </c>
      <c r="L31" s="20">
        <v>28.161</v>
      </c>
      <c r="M31" s="20">
        <f>4.181*10^-52</f>
        <v>4.181E-52</v>
      </c>
      <c r="N31" s="20">
        <v>0.878</v>
      </c>
      <c r="O31" s="20">
        <v>0.914</v>
      </c>
      <c r="P31" s="20">
        <v>23.553</v>
      </c>
      <c r="Q31" s="20">
        <f>8.907*10^-45</f>
        <v>8.907000000000001E-45</v>
      </c>
      <c r="R31" s="20">
        <v>0.835</v>
      </c>
      <c r="S31" s="20">
        <v>0.681</v>
      </c>
      <c r="T31" s="20">
        <v>9.759</v>
      </c>
      <c r="U31" s="20">
        <v>1.398E-16</v>
      </c>
      <c r="V31" s="20">
        <v>0.464</v>
      </c>
      <c r="W31" s="20" t="s">
        <v>133</v>
      </c>
      <c r="X31" s="38"/>
      <c r="Y31" s="38"/>
      <c r="Z31" s="38"/>
      <c r="AA31" s="38"/>
      <c r="AB31" s="38"/>
      <c r="AC31" s="38"/>
      <c r="AD31" s="38"/>
      <c r="AE31" s="38"/>
      <c r="AF31" s="38"/>
    </row>
    <row r="32" spans="1:32" ht="14.25">
      <c r="A32" s="5" t="s">
        <v>60</v>
      </c>
      <c r="B32" s="12">
        <v>435</v>
      </c>
      <c r="C32" s="5" t="s">
        <v>41</v>
      </c>
      <c r="D32" s="13" t="s">
        <v>18</v>
      </c>
      <c r="E32" s="18" t="s">
        <v>63</v>
      </c>
      <c r="F32" s="5" t="s">
        <v>19</v>
      </c>
      <c r="G32" s="12" t="s">
        <v>20</v>
      </c>
      <c r="H32" s="12"/>
      <c r="I32" s="21"/>
      <c r="J32" s="12" t="s">
        <v>20</v>
      </c>
      <c r="K32" s="20">
        <v>0.941</v>
      </c>
      <c r="L32" s="20">
        <v>29.298</v>
      </c>
      <c r="M32" s="20">
        <f>8.912*10^-54</f>
        <v>8.912E-54</v>
      </c>
      <c r="N32" s="20">
        <v>0.886</v>
      </c>
      <c r="O32" s="20">
        <v>0.865</v>
      </c>
      <c r="P32" s="20">
        <v>18.056</v>
      </c>
      <c r="Q32" s="20">
        <f>1.111*10^-34</f>
        <v>1.1110000000000002E-34</v>
      </c>
      <c r="R32" s="20">
        <v>0.748</v>
      </c>
      <c r="S32" s="20">
        <v>0.785</v>
      </c>
      <c r="T32" s="20">
        <v>13.297</v>
      </c>
      <c r="U32" s="20">
        <v>1.2360000000000002E-24</v>
      </c>
      <c r="V32" s="20">
        <v>0.616</v>
      </c>
      <c r="W32" s="20" t="s">
        <v>134</v>
      </c>
      <c r="X32" s="38"/>
      <c r="Y32" s="38"/>
      <c r="Z32" s="38"/>
      <c r="AA32" s="38"/>
      <c r="AB32" s="38"/>
      <c r="AC32" s="38"/>
      <c r="AD32" s="38"/>
      <c r="AE32" s="38"/>
      <c r="AF32" s="38"/>
    </row>
    <row r="33" spans="1:32" s="32" customFormat="1" ht="14.25">
      <c r="A33" s="25" t="s">
        <v>92</v>
      </c>
      <c r="B33" s="26" t="s">
        <v>96</v>
      </c>
      <c r="C33" s="33" t="s">
        <v>98</v>
      </c>
      <c r="D33" s="29" t="s">
        <v>18</v>
      </c>
      <c r="E33" s="28" t="s">
        <v>100</v>
      </c>
      <c r="F33" s="5" t="s">
        <v>19</v>
      </c>
      <c r="H33" s="26" t="s">
        <v>101</v>
      </c>
      <c r="I33" s="34"/>
      <c r="J33" s="26"/>
      <c r="K33" s="35">
        <v>0.976</v>
      </c>
      <c r="L33" s="35">
        <v>47.167</v>
      </c>
      <c r="M33" s="30">
        <f>8.2E-75</f>
        <v>8.2E-75</v>
      </c>
      <c r="N33" s="35">
        <v>0.953</v>
      </c>
      <c r="O33" s="30" t="s">
        <v>104</v>
      </c>
      <c r="P33" s="30" t="s">
        <v>104</v>
      </c>
      <c r="Q33" s="30" t="s">
        <v>104</v>
      </c>
      <c r="R33" s="30" t="s">
        <v>104</v>
      </c>
      <c r="S33" s="30" t="s">
        <v>104</v>
      </c>
      <c r="T33" s="30" t="s">
        <v>104</v>
      </c>
      <c r="U33" s="30" t="s">
        <v>104</v>
      </c>
      <c r="V33" s="30" t="s">
        <v>104</v>
      </c>
      <c r="W33" s="30" t="s">
        <v>132</v>
      </c>
      <c r="X33" s="41"/>
      <c r="Y33" s="41"/>
      <c r="Z33" s="41"/>
      <c r="AA33" s="41"/>
      <c r="AB33" s="41"/>
      <c r="AC33" s="41"/>
      <c r="AD33" s="41"/>
      <c r="AE33" s="41"/>
      <c r="AF33" s="41"/>
    </row>
    <row r="34" spans="1:32" ht="14.25">
      <c r="A34" s="5" t="s">
        <v>60</v>
      </c>
      <c r="B34" s="12">
        <v>441</v>
      </c>
      <c r="C34" s="5" t="s">
        <v>38</v>
      </c>
      <c r="D34" s="13" t="s">
        <v>18</v>
      </c>
      <c r="E34" s="18" t="s">
        <v>64</v>
      </c>
      <c r="F34" s="5" t="s">
        <v>19</v>
      </c>
      <c r="G34" s="12"/>
      <c r="H34" s="12"/>
      <c r="I34" s="12"/>
      <c r="J34" s="12"/>
      <c r="K34" s="20">
        <v>0.957</v>
      </c>
      <c r="L34" s="20">
        <v>34.472</v>
      </c>
      <c r="M34" s="20">
        <f>8.711*10^-61</f>
        <v>8.711E-61</v>
      </c>
      <c r="N34" s="20">
        <v>0.915</v>
      </c>
      <c r="O34" s="20">
        <v>0.894</v>
      </c>
      <c r="P34" s="20">
        <v>20.902</v>
      </c>
      <c r="Q34" s="20">
        <f>4.171*10^-40</f>
        <v>4.171E-40</v>
      </c>
      <c r="R34" s="20">
        <v>0.799</v>
      </c>
      <c r="S34" s="20">
        <v>0.682</v>
      </c>
      <c r="T34" s="20">
        <v>9.778</v>
      </c>
      <c r="U34" s="20">
        <v>1.2649999999999998E-16</v>
      </c>
      <c r="V34" s="20">
        <v>0.465</v>
      </c>
      <c r="W34" s="20" t="s">
        <v>135</v>
      </c>
      <c r="X34" s="38"/>
      <c r="Y34" s="38"/>
      <c r="Z34" s="38"/>
      <c r="AA34" s="38"/>
      <c r="AB34" s="38"/>
      <c r="AC34" s="38"/>
      <c r="AD34" s="38"/>
      <c r="AE34" s="38"/>
      <c r="AF34" s="38"/>
    </row>
    <row r="35" spans="1:32" ht="14.25">
      <c r="A35" s="5" t="s">
        <v>60</v>
      </c>
      <c r="B35" s="12">
        <v>443</v>
      </c>
      <c r="C35" s="5" t="s">
        <v>36</v>
      </c>
      <c r="D35" s="13" t="s">
        <v>18</v>
      </c>
      <c r="E35" s="18" t="s">
        <v>65</v>
      </c>
      <c r="F35" s="5" t="s">
        <v>19</v>
      </c>
      <c r="G35" s="12"/>
      <c r="H35" s="12"/>
      <c r="I35" s="12"/>
      <c r="J35" s="12"/>
      <c r="K35" s="20">
        <v>0.945</v>
      </c>
      <c r="L35" s="20">
        <v>30.313</v>
      </c>
      <c r="M35" s="20">
        <f>3.167*10^-55</f>
        <v>3.167E-55</v>
      </c>
      <c r="N35" s="20">
        <v>0.893</v>
      </c>
      <c r="O35" s="20">
        <v>0.914</v>
      </c>
      <c r="P35" s="20">
        <v>23.563</v>
      </c>
      <c r="Q35" s="20">
        <f>8.567*10^-45</f>
        <v>8.567000000000001E-45</v>
      </c>
      <c r="R35" s="20">
        <v>0.835</v>
      </c>
      <c r="S35" s="20">
        <v>0.773</v>
      </c>
      <c r="T35" s="20">
        <v>12.779</v>
      </c>
      <c r="U35" s="20">
        <v>1.7790000000000002E-23</v>
      </c>
      <c r="V35" s="20">
        <v>0.598</v>
      </c>
      <c r="W35" s="20" t="s">
        <v>136</v>
      </c>
      <c r="X35" s="38"/>
      <c r="Y35" s="38"/>
      <c r="Z35" s="38"/>
      <c r="AA35" s="38"/>
      <c r="AB35" s="38"/>
      <c r="AC35" s="38"/>
      <c r="AD35" s="38"/>
      <c r="AE35" s="38"/>
      <c r="AF35" s="38"/>
    </row>
    <row r="36" spans="1:32" ht="14.25">
      <c r="A36" s="5" t="s">
        <v>60</v>
      </c>
      <c r="B36" s="12">
        <v>445</v>
      </c>
      <c r="C36" s="5" t="s">
        <v>34</v>
      </c>
      <c r="D36" s="13" t="s">
        <v>18</v>
      </c>
      <c r="E36" s="18" t="s">
        <v>66</v>
      </c>
      <c r="F36" s="5" t="s">
        <v>67</v>
      </c>
      <c r="G36" s="12"/>
      <c r="H36" s="12"/>
      <c r="I36" s="12"/>
      <c r="J36" s="12"/>
      <c r="K36" s="20">
        <v>0.962</v>
      </c>
      <c r="L36" s="20">
        <v>37.076</v>
      </c>
      <c r="M36" s="20">
        <f>5.421*10^-64</f>
        <v>5.421E-64</v>
      </c>
      <c r="N36" s="20">
        <v>0.926</v>
      </c>
      <c r="O36" s="20">
        <v>0.898</v>
      </c>
      <c r="P36" s="20">
        <v>21.453</v>
      </c>
      <c r="Q36" s="20">
        <f>4.169*10^-41</f>
        <v>4.1689999999999995E-41</v>
      </c>
      <c r="R36" s="20">
        <v>0.807</v>
      </c>
      <c r="S36" s="20">
        <v>0.781</v>
      </c>
      <c r="T36" s="20">
        <v>13.118</v>
      </c>
      <c r="U36" s="20">
        <v>3.0910000000000006E-24</v>
      </c>
      <c r="V36" s="20">
        <v>0.61</v>
      </c>
      <c r="W36" s="20" t="s">
        <v>137</v>
      </c>
      <c r="X36" s="38"/>
      <c r="Y36" s="38"/>
      <c r="Z36" s="38"/>
      <c r="AA36" s="38"/>
      <c r="AB36" s="38"/>
      <c r="AC36" s="38"/>
      <c r="AD36" s="38"/>
      <c r="AE36" s="38"/>
      <c r="AF36" s="38"/>
    </row>
    <row r="37" spans="1:32" ht="14.25">
      <c r="A37" s="5" t="s">
        <v>60</v>
      </c>
      <c r="B37" s="12">
        <v>448</v>
      </c>
      <c r="C37" s="5" t="s">
        <v>16</v>
      </c>
      <c r="D37" s="13" t="s">
        <v>18</v>
      </c>
      <c r="E37" s="18" t="s">
        <v>68</v>
      </c>
      <c r="F37" s="5" t="s">
        <v>19</v>
      </c>
      <c r="G37" s="12"/>
      <c r="H37" s="12"/>
      <c r="I37" s="12"/>
      <c r="J37" s="12"/>
      <c r="K37" s="20">
        <v>0.945</v>
      </c>
      <c r="L37" s="20">
        <v>30.338</v>
      </c>
      <c r="M37" s="20">
        <f>2.926*10^-55</f>
        <v>2.926E-55</v>
      </c>
      <c r="N37" s="20">
        <v>0.893</v>
      </c>
      <c r="O37" s="20">
        <v>0.842</v>
      </c>
      <c r="P37" s="20">
        <v>16.378</v>
      </c>
      <c r="Q37" s="20">
        <f>2.83*10^-31</f>
        <v>2.8300000000000003E-31</v>
      </c>
      <c r="R37" s="20">
        <v>0.709</v>
      </c>
      <c r="S37" s="20">
        <v>0.75</v>
      </c>
      <c r="T37" s="20">
        <v>11.885</v>
      </c>
      <c r="U37" s="20">
        <v>1.877E-21</v>
      </c>
      <c r="V37" s="20">
        <v>0.562</v>
      </c>
      <c r="W37" s="20" t="s">
        <v>136</v>
      </c>
      <c r="X37" s="38"/>
      <c r="Y37" s="38"/>
      <c r="Z37" s="38"/>
      <c r="AA37" s="38"/>
      <c r="AB37" s="38"/>
      <c r="AC37" s="38"/>
      <c r="AD37" s="38"/>
      <c r="AE37" s="38"/>
      <c r="AF37" s="38"/>
    </row>
    <row r="38" spans="1:32" ht="14.25">
      <c r="A38" s="5" t="s">
        <v>60</v>
      </c>
      <c r="B38" s="12">
        <v>456</v>
      </c>
      <c r="C38" s="5" t="s">
        <v>21</v>
      </c>
      <c r="D38" s="13" t="s">
        <v>18</v>
      </c>
      <c r="E38" s="18" t="s">
        <v>69</v>
      </c>
      <c r="F38" s="5" t="s">
        <v>70</v>
      </c>
      <c r="G38" s="12"/>
      <c r="H38" s="12"/>
      <c r="I38" s="12"/>
      <c r="J38" s="12" t="s">
        <v>20</v>
      </c>
      <c r="K38" s="20">
        <v>0.961</v>
      </c>
      <c r="L38" s="20">
        <v>36.445</v>
      </c>
      <c r="M38" s="20">
        <f>3.111*10^-63</f>
        <v>3.111E-63</v>
      </c>
      <c r="N38" s="20">
        <v>0.924</v>
      </c>
      <c r="O38" s="20">
        <v>0.863</v>
      </c>
      <c r="P38" s="20">
        <v>17.891</v>
      </c>
      <c r="Q38" s="20">
        <f>2.371*10^-34</f>
        <v>2.3710000000000003E-34</v>
      </c>
      <c r="R38" s="20">
        <v>0.744</v>
      </c>
      <c r="S38" s="20">
        <v>0.859</v>
      </c>
      <c r="T38" s="20">
        <v>17.492</v>
      </c>
      <c r="U38" s="20">
        <v>2.021E-33</v>
      </c>
      <c r="V38" s="20">
        <v>0.737</v>
      </c>
      <c r="W38" s="20" t="s">
        <v>134</v>
      </c>
      <c r="X38" s="38"/>
      <c r="Y38" s="38"/>
      <c r="Z38" s="38"/>
      <c r="AA38" s="38"/>
      <c r="AB38" s="38"/>
      <c r="AC38" s="38"/>
      <c r="AD38" s="38"/>
      <c r="AE38" s="38"/>
      <c r="AF38" s="38"/>
    </row>
    <row r="39" spans="1:32" ht="14.25">
      <c r="A39" s="5" t="s">
        <v>60</v>
      </c>
      <c r="B39" s="12">
        <v>462</v>
      </c>
      <c r="C39" s="5" t="s">
        <v>24</v>
      </c>
      <c r="D39" s="13" t="s">
        <v>18</v>
      </c>
      <c r="E39" s="18" t="s">
        <v>71</v>
      </c>
      <c r="F39" s="5" t="s">
        <v>72</v>
      </c>
      <c r="G39" s="12"/>
      <c r="H39" s="12"/>
      <c r="I39" s="12"/>
      <c r="J39" s="12"/>
      <c r="K39" s="20">
        <v>0.95</v>
      </c>
      <c r="L39" s="20">
        <v>31.743</v>
      </c>
      <c r="M39" s="20">
        <f>3.337*10^-57</f>
        <v>3.337E-57</v>
      </c>
      <c r="N39" s="20">
        <v>0.902</v>
      </c>
      <c r="O39" s="20">
        <v>0.879</v>
      </c>
      <c r="P39" s="20">
        <v>19.338</v>
      </c>
      <c r="Q39" s="20">
        <f>3.524*10^-37</f>
        <v>3.524E-37</v>
      </c>
      <c r="R39" s="20">
        <v>0.773</v>
      </c>
      <c r="S39" s="20">
        <v>0.774</v>
      </c>
      <c r="T39" s="20">
        <v>12.75</v>
      </c>
      <c r="U39" s="20">
        <v>2.4280000000000003E-23</v>
      </c>
      <c r="V39" s="20">
        <v>0.599</v>
      </c>
      <c r="W39" s="20" t="s">
        <v>138</v>
      </c>
      <c r="X39" s="38"/>
      <c r="Y39" s="38"/>
      <c r="Z39" s="38"/>
      <c r="AA39" s="38"/>
      <c r="AB39" s="38"/>
      <c r="AC39" s="38"/>
      <c r="AD39" s="38"/>
      <c r="AE39" s="38"/>
      <c r="AF39" s="38"/>
    </row>
    <row r="40" spans="1:32" ht="14.25">
      <c r="A40" s="5" t="s">
        <v>73</v>
      </c>
      <c r="B40" s="12">
        <v>349</v>
      </c>
      <c r="C40" s="5" t="s">
        <v>24</v>
      </c>
      <c r="D40" s="13" t="s">
        <v>18</v>
      </c>
      <c r="E40" s="5" t="s">
        <v>74</v>
      </c>
      <c r="F40" s="5" t="s">
        <v>75</v>
      </c>
      <c r="G40" s="12" t="s">
        <v>20</v>
      </c>
      <c r="H40" s="21"/>
      <c r="I40" s="12" t="s">
        <v>20</v>
      </c>
      <c r="J40" s="12"/>
      <c r="K40" s="20">
        <v>0.836</v>
      </c>
      <c r="L40" s="20">
        <v>15.995</v>
      </c>
      <c r="M40" s="20">
        <f>1.783*10^-30</f>
        <v>1.7829999999999997E-30</v>
      </c>
      <c r="N40" s="20">
        <v>0.699</v>
      </c>
      <c r="O40" s="20">
        <v>0.888</v>
      </c>
      <c r="P40" s="20">
        <v>20.305</v>
      </c>
      <c r="Q40" s="20">
        <f>5.276*10^-39</f>
        <v>5.276E-39</v>
      </c>
      <c r="R40" s="20">
        <v>0.789</v>
      </c>
      <c r="S40" s="20">
        <v>0.706</v>
      </c>
      <c r="T40" s="20">
        <v>10.453</v>
      </c>
      <c r="U40" s="20">
        <v>3.556E-18</v>
      </c>
      <c r="V40" s="20">
        <v>0.498</v>
      </c>
      <c r="W40" s="20" t="s">
        <v>139</v>
      </c>
      <c r="X40" s="38"/>
      <c r="Y40" s="38"/>
      <c r="Z40" s="38"/>
      <c r="AA40" s="38"/>
      <c r="AB40" s="38"/>
      <c r="AC40" s="38"/>
      <c r="AD40" s="38"/>
      <c r="AE40" s="38"/>
      <c r="AF40" s="38"/>
    </row>
    <row r="41" spans="1:32" ht="14.25">
      <c r="A41" s="5" t="s">
        <v>73</v>
      </c>
      <c r="B41" s="12">
        <v>351</v>
      </c>
      <c r="C41" s="5" t="s">
        <v>21</v>
      </c>
      <c r="D41" s="13" t="s">
        <v>18</v>
      </c>
      <c r="E41" s="5" t="s">
        <v>76</v>
      </c>
      <c r="F41" s="5" t="s">
        <v>19</v>
      </c>
      <c r="G41" s="12"/>
      <c r="H41" s="12"/>
      <c r="I41" s="12"/>
      <c r="J41" s="12"/>
      <c r="K41" s="20">
        <v>0.808</v>
      </c>
      <c r="L41" s="20">
        <v>14.381</v>
      </c>
      <c r="M41" s="20">
        <f>5.053*10^-27</f>
        <v>5.0530000000000004E-27</v>
      </c>
      <c r="N41" s="20">
        <v>0.653</v>
      </c>
      <c r="O41" s="20">
        <v>0.86</v>
      </c>
      <c r="P41" s="20">
        <v>17.659</v>
      </c>
      <c r="Q41" s="20">
        <f>6.87*10^-34</f>
        <v>6.870000000000001E-34</v>
      </c>
      <c r="R41" s="20">
        <v>0.739</v>
      </c>
      <c r="S41" s="20">
        <v>0.722</v>
      </c>
      <c r="T41" s="20">
        <v>10.956</v>
      </c>
      <c r="U41" s="20">
        <v>2.492E-19</v>
      </c>
      <c r="V41" s="20">
        <v>0.522</v>
      </c>
      <c r="W41" s="20" t="s">
        <v>126</v>
      </c>
      <c r="X41" s="38"/>
      <c r="Y41" s="38"/>
      <c r="Z41" s="38"/>
      <c r="AA41" s="38"/>
      <c r="AB41" s="38"/>
      <c r="AC41" s="38"/>
      <c r="AD41" s="38"/>
      <c r="AE41" s="38"/>
      <c r="AF41" s="38"/>
    </row>
    <row r="42" spans="1:32" ht="14.25">
      <c r="A42" s="5" t="s">
        <v>73</v>
      </c>
      <c r="B42" s="12">
        <v>366</v>
      </c>
      <c r="C42" s="5" t="s">
        <v>16</v>
      </c>
      <c r="D42" s="13" t="s">
        <v>18</v>
      </c>
      <c r="E42" s="6" t="s">
        <v>77</v>
      </c>
      <c r="F42" s="5" t="s">
        <v>19</v>
      </c>
      <c r="G42" s="12"/>
      <c r="H42" s="12"/>
      <c r="I42" s="12"/>
      <c r="J42" s="12" t="s">
        <v>20</v>
      </c>
      <c r="K42" s="20">
        <v>0.844</v>
      </c>
      <c r="L42" s="20">
        <v>16.489</v>
      </c>
      <c r="M42" s="20">
        <f>1.671*10^-31</f>
        <v>1.671E-31</v>
      </c>
      <c r="N42" s="20">
        <v>0.712</v>
      </c>
      <c r="O42" s="20">
        <v>0.876</v>
      </c>
      <c r="P42" s="20">
        <v>19.068</v>
      </c>
      <c r="Q42" s="20">
        <f>1.163*10^-36</f>
        <v>1.163E-36</v>
      </c>
      <c r="R42" s="20">
        <v>0.768</v>
      </c>
      <c r="S42" s="20">
        <v>0.857</v>
      </c>
      <c r="T42" s="20">
        <v>17.466</v>
      </c>
      <c r="U42" s="20">
        <v>1.68E-33</v>
      </c>
      <c r="V42" s="20">
        <v>0.735</v>
      </c>
      <c r="W42" s="20" t="s">
        <v>126</v>
      </c>
      <c r="X42" s="38"/>
      <c r="Y42" s="38"/>
      <c r="Z42" s="38"/>
      <c r="AA42" s="38"/>
      <c r="AB42" s="38"/>
      <c r="AC42" s="38"/>
      <c r="AD42" s="38"/>
      <c r="AE42" s="38"/>
      <c r="AF42" s="38"/>
    </row>
    <row r="43" spans="1:32" ht="14.25">
      <c r="A43" s="5" t="s">
        <v>73</v>
      </c>
      <c r="B43" s="12">
        <v>369</v>
      </c>
      <c r="C43" s="5" t="s">
        <v>34</v>
      </c>
      <c r="D43" s="13" t="s">
        <v>18</v>
      </c>
      <c r="E43" s="5" t="s">
        <v>78</v>
      </c>
      <c r="F43" s="5" t="s">
        <v>19</v>
      </c>
      <c r="G43" s="12"/>
      <c r="H43" s="12" t="s">
        <v>20</v>
      </c>
      <c r="I43" s="12"/>
      <c r="J43" s="12"/>
      <c r="K43" s="20">
        <v>0.81</v>
      </c>
      <c r="L43" s="20">
        <v>14.479</v>
      </c>
      <c r="M43" s="20">
        <f>3.085*10^-27</f>
        <v>3.085E-27</v>
      </c>
      <c r="N43" s="20">
        <v>0.656</v>
      </c>
      <c r="O43" s="20">
        <v>0.877</v>
      </c>
      <c r="P43" s="20">
        <v>19.1</v>
      </c>
      <c r="Q43" s="20">
        <f>1.01*10^-36</f>
        <v>1.01E-36</v>
      </c>
      <c r="R43" s="20">
        <v>0.768</v>
      </c>
      <c r="S43" s="20">
        <v>0.734</v>
      </c>
      <c r="T43" s="20">
        <v>11.324</v>
      </c>
      <c r="U43" s="20">
        <v>3.5799999999999997E-20</v>
      </c>
      <c r="V43" s="20">
        <v>0.538</v>
      </c>
      <c r="W43" s="20" t="s">
        <v>140</v>
      </c>
      <c r="X43" s="38"/>
      <c r="Y43" s="38"/>
      <c r="Z43" s="38"/>
      <c r="AA43" s="38"/>
      <c r="AB43" s="38"/>
      <c r="AC43" s="38"/>
      <c r="AD43" s="38"/>
      <c r="AE43" s="38"/>
      <c r="AF43" s="38"/>
    </row>
    <row r="44" spans="1:32" ht="14.25">
      <c r="A44" s="5" t="s">
        <v>79</v>
      </c>
      <c r="B44" s="12">
        <v>727</v>
      </c>
      <c r="C44" s="6" t="s">
        <v>24</v>
      </c>
      <c r="D44" s="13" t="s">
        <v>18</v>
      </c>
      <c r="E44" s="5" t="s">
        <v>80</v>
      </c>
      <c r="F44" s="5" t="s">
        <v>81</v>
      </c>
      <c r="G44" s="12"/>
      <c r="H44" s="12"/>
      <c r="I44" s="12"/>
      <c r="J44" s="12" t="s">
        <v>20</v>
      </c>
      <c r="K44" s="20">
        <v>-0.807</v>
      </c>
      <c r="L44" s="20">
        <v>-14.336</v>
      </c>
      <c r="M44" s="20">
        <f>6.3232*10^-27</f>
        <v>6.3232000000000005E-27</v>
      </c>
      <c r="N44" s="20">
        <v>0.651</v>
      </c>
      <c r="O44" s="20">
        <v>-0.484</v>
      </c>
      <c r="P44" s="20">
        <v>-5.805</v>
      </c>
      <c r="Q44" s="20">
        <f>6.321*10^-8</f>
        <v>6.321E-08</v>
      </c>
      <c r="R44" s="20">
        <v>0.234</v>
      </c>
      <c r="S44" s="20">
        <v>-0.284</v>
      </c>
      <c r="T44" s="20">
        <v>-3.109</v>
      </c>
      <c r="U44" s="20">
        <v>0.002</v>
      </c>
      <c r="V44" s="20">
        <v>0.081</v>
      </c>
      <c r="W44" s="20" t="s">
        <v>141</v>
      </c>
      <c r="X44" s="38"/>
      <c r="Y44" s="38"/>
      <c r="Z44" s="38"/>
      <c r="AA44" s="38"/>
      <c r="AB44" s="38"/>
      <c r="AC44" s="38"/>
      <c r="AD44" s="38"/>
      <c r="AE44" s="38"/>
      <c r="AF44" s="38"/>
    </row>
    <row r="45" spans="1:32" ht="14.25">
      <c r="A45" s="5" t="s">
        <v>82</v>
      </c>
      <c r="B45" s="12">
        <v>601</v>
      </c>
      <c r="C45" s="6" t="s">
        <v>24</v>
      </c>
      <c r="D45" s="13" t="s">
        <v>18</v>
      </c>
      <c r="E45" s="13" t="s">
        <v>83</v>
      </c>
      <c r="F45" s="5" t="s">
        <v>19</v>
      </c>
      <c r="G45" s="22"/>
      <c r="H45" s="12"/>
      <c r="I45" s="22"/>
      <c r="J45" s="12"/>
      <c r="K45" s="20">
        <v>0.736</v>
      </c>
      <c r="L45" s="20">
        <v>11.416</v>
      </c>
      <c r="M45" s="20">
        <f>2.195*10^-20</f>
        <v>2.1949999999999997E-20</v>
      </c>
      <c r="N45" s="20">
        <v>0.542</v>
      </c>
      <c r="O45" s="20">
        <v>0.886</v>
      </c>
      <c r="P45" s="20">
        <v>19.998</v>
      </c>
      <c r="Q45" s="20">
        <f>1.976*10^-38</f>
        <v>1.976E-38</v>
      </c>
      <c r="R45" s="20">
        <v>0.784</v>
      </c>
      <c r="S45" s="20">
        <v>0.51</v>
      </c>
      <c r="T45" s="20">
        <v>6.222</v>
      </c>
      <c r="U45" s="20">
        <v>9.093E-09</v>
      </c>
      <c r="V45" s="20">
        <v>0.26</v>
      </c>
      <c r="W45" s="20" t="s">
        <v>142</v>
      </c>
      <c r="X45" s="38"/>
      <c r="Y45" s="38"/>
      <c r="Z45" s="38"/>
      <c r="AA45" s="38"/>
      <c r="AB45" s="38"/>
      <c r="AC45" s="38"/>
      <c r="AD45" s="38"/>
      <c r="AE45" s="38"/>
      <c r="AF45" s="38"/>
    </row>
    <row r="46" spans="1:32" ht="14.25">
      <c r="A46" s="5" t="s">
        <v>82</v>
      </c>
      <c r="B46" s="12">
        <v>604</v>
      </c>
      <c r="C46" s="6" t="s">
        <v>21</v>
      </c>
      <c r="D46" s="13" t="s">
        <v>18</v>
      </c>
      <c r="E46" s="6" t="s">
        <v>84</v>
      </c>
      <c r="F46" s="5" t="s">
        <v>19</v>
      </c>
      <c r="G46" s="22"/>
      <c r="H46" s="12"/>
      <c r="I46" s="12"/>
      <c r="J46" s="12"/>
      <c r="K46" s="20">
        <v>0.833</v>
      </c>
      <c r="L46" s="20">
        <v>15.806</v>
      </c>
      <c r="M46" s="20">
        <f>4.457*10^-30</f>
        <v>4.456999999999999E-30</v>
      </c>
      <c r="N46" s="20">
        <v>0.694</v>
      </c>
      <c r="O46" s="20">
        <v>0.9</v>
      </c>
      <c r="P46" s="20">
        <v>21.662</v>
      </c>
      <c r="Q46" s="20">
        <f>1.754*10^-41</f>
        <v>1.754E-41</v>
      </c>
      <c r="R46" s="20">
        <v>0.81</v>
      </c>
      <c r="S46" s="20">
        <v>0.67</v>
      </c>
      <c r="T46" s="20">
        <v>9.465</v>
      </c>
      <c r="U46" s="20">
        <v>6.5970000000000005E-16</v>
      </c>
      <c r="V46" s="20">
        <v>0.449</v>
      </c>
      <c r="W46" s="20" t="s">
        <v>142</v>
      </c>
      <c r="X46" s="38"/>
      <c r="Y46" s="38"/>
      <c r="Z46" s="38"/>
      <c r="AA46" s="38"/>
      <c r="AB46" s="38"/>
      <c r="AC46" s="38"/>
      <c r="AD46" s="38"/>
      <c r="AE46" s="38"/>
      <c r="AF46" s="38"/>
    </row>
    <row r="47" spans="1:32" ht="14.25">
      <c r="A47" s="5" t="s">
        <v>82</v>
      </c>
      <c r="B47" s="12">
        <v>613</v>
      </c>
      <c r="C47" s="5" t="s">
        <v>16</v>
      </c>
      <c r="D47" s="13" t="s">
        <v>18</v>
      </c>
      <c r="E47" s="6" t="s">
        <v>85</v>
      </c>
      <c r="F47" s="6" t="s">
        <v>86</v>
      </c>
      <c r="G47" s="22"/>
      <c r="H47" s="12"/>
      <c r="I47" s="12"/>
      <c r="J47" s="12"/>
      <c r="K47" s="20">
        <v>0.715</v>
      </c>
      <c r="L47" s="20">
        <v>10.721</v>
      </c>
      <c r="M47" s="20">
        <f>8.631*10^-19</f>
        <v>8.631E-19</v>
      </c>
      <c r="N47" s="20">
        <v>0.511</v>
      </c>
      <c r="O47" s="20">
        <v>0.93</v>
      </c>
      <c r="P47" s="20">
        <v>26.465</v>
      </c>
      <c r="Q47" s="20">
        <f>1.621*10^-49</f>
        <v>1.6210000000000002E-49</v>
      </c>
      <c r="R47" s="20">
        <v>0.864</v>
      </c>
      <c r="S47" s="20">
        <v>0.406</v>
      </c>
      <c r="T47" s="20">
        <v>4.664</v>
      </c>
      <c r="U47" s="20">
        <v>8.792E-06</v>
      </c>
      <c r="V47" s="20">
        <v>0.165</v>
      </c>
      <c r="W47" s="20" t="s">
        <v>143</v>
      </c>
      <c r="X47" s="38"/>
      <c r="Y47" s="38"/>
      <c r="Z47" s="38"/>
      <c r="AA47" s="38"/>
      <c r="AB47" s="38"/>
      <c r="AC47" s="38"/>
      <c r="AD47" s="38"/>
      <c r="AE47" s="38"/>
      <c r="AF47" s="38"/>
    </row>
    <row r="48" spans="1:32" ht="14.25">
      <c r="A48" s="5" t="s">
        <v>82</v>
      </c>
      <c r="B48" s="12">
        <v>627</v>
      </c>
      <c r="C48" s="5" t="s">
        <v>34</v>
      </c>
      <c r="D48" s="13" t="s">
        <v>18</v>
      </c>
      <c r="E48" s="5" t="s">
        <v>87</v>
      </c>
      <c r="F48" s="5" t="s">
        <v>19</v>
      </c>
      <c r="G48" s="12"/>
      <c r="H48" s="12"/>
      <c r="I48" s="12"/>
      <c r="J48" s="12" t="s">
        <v>20</v>
      </c>
      <c r="K48" s="20">
        <v>0.916</v>
      </c>
      <c r="L48" s="20">
        <v>23.967</v>
      </c>
      <c r="M48" s="20">
        <f>1.783*10^-45</f>
        <v>1.7830000000000002E-45</v>
      </c>
      <c r="N48" s="20">
        <v>0.839</v>
      </c>
      <c r="O48" s="20">
        <v>0.947</v>
      </c>
      <c r="P48" s="20">
        <v>30.914</v>
      </c>
      <c r="Q48" s="20">
        <f>9.166*10^-56</f>
        <v>9.165999999999999E-56</v>
      </c>
      <c r="R48" s="20">
        <v>0.898</v>
      </c>
      <c r="S48" s="20">
        <v>0.827</v>
      </c>
      <c r="T48" s="20">
        <v>15.453</v>
      </c>
      <c r="U48" s="20">
        <v>2.4920000000000003E-29</v>
      </c>
      <c r="V48" s="20">
        <v>0.685</v>
      </c>
      <c r="W48" s="20" t="s">
        <v>144</v>
      </c>
      <c r="X48" s="38"/>
      <c r="Y48" s="38"/>
      <c r="Z48" s="38"/>
      <c r="AA48" s="38"/>
      <c r="AB48" s="38"/>
      <c r="AC48" s="38"/>
      <c r="AD48" s="38"/>
      <c r="AE48" s="38"/>
      <c r="AF48" s="38"/>
    </row>
    <row r="49" spans="1:32" ht="14.25">
      <c r="A49" s="5" t="s">
        <v>82</v>
      </c>
      <c r="B49" s="12">
        <v>649</v>
      </c>
      <c r="C49" s="5" t="s">
        <v>36</v>
      </c>
      <c r="D49" s="13" t="s">
        <v>18</v>
      </c>
      <c r="E49" s="5" t="s">
        <v>88</v>
      </c>
      <c r="F49" s="5" t="s">
        <v>19</v>
      </c>
      <c r="G49" s="12"/>
      <c r="H49" s="12" t="s">
        <v>20</v>
      </c>
      <c r="I49" s="12" t="s">
        <v>20</v>
      </c>
      <c r="J49" s="12"/>
      <c r="K49" s="20">
        <v>0.939</v>
      </c>
      <c r="L49" s="20">
        <v>28.588</v>
      </c>
      <c r="M49" s="20">
        <f>9.722*10^-53</f>
        <v>9.722E-53</v>
      </c>
      <c r="N49" s="20">
        <v>0.881</v>
      </c>
      <c r="O49" s="20">
        <v>0.965</v>
      </c>
      <c r="P49" s="20">
        <v>38.396</v>
      </c>
      <c r="Q49" s="20">
        <f>3.648*10^-65</f>
        <v>3.6479999999999997E-65</v>
      </c>
      <c r="R49" s="20">
        <v>0.931</v>
      </c>
      <c r="S49" s="20">
        <v>0.703</v>
      </c>
      <c r="T49" s="20">
        <v>10.372</v>
      </c>
      <c r="U49" s="20">
        <v>5.47E-18</v>
      </c>
      <c r="V49" s="20">
        <v>0.494</v>
      </c>
      <c r="W49" s="20" t="s">
        <v>145</v>
      </c>
      <c r="X49" s="38"/>
      <c r="Y49" s="38"/>
      <c r="Z49" s="38"/>
      <c r="AA49" s="38"/>
      <c r="AB49" s="38"/>
      <c r="AC49" s="38"/>
      <c r="AD49" s="38"/>
      <c r="AE49" s="38"/>
      <c r="AF49" s="38"/>
    </row>
    <row r="50" spans="1:32" ht="14.25">
      <c r="A50" s="5" t="s">
        <v>82</v>
      </c>
      <c r="B50" s="12">
        <v>653</v>
      </c>
      <c r="C50" s="5" t="s">
        <v>38</v>
      </c>
      <c r="D50" s="13" t="s">
        <v>18</v>
      </c>
      <c r="E50" s="5" t="s">
        <v>89</v>
      </c>
      <c r="F50" s="5" t="s">
        <v>90</v>
      </c>
      <c r="G50" s="12"/>
      <c r="H50" s="12"/>
      <c r="I50" s="12"/>
      <c r="J50" s="12" t="s">
        <v>20</v>
      </c>
      <c r="K50" s="20">
        <v>0.937</v>
      </c>
      <c r="L50" s="20">
        <v>28.229</v>
      </c>
      <c r="M50" s="20">
        <f>3.303*10^-52</f>
        <v>3.303E-52</v>
      </c>
      <c r="N50" s="20">
        <v>0.879</v>
      </c>
      <c r="O50" s="20">
        <v>0.926</v>
      </c>
      <c r="P50" s="20">
        <v>25.571</v>
      </c>
      <c r="Q50" s="20">
        <f>7.273*10^-48</f>
        <v>7.272999999999999E-48</v>
      </c>
      <c r="R50" s="20">
        <v>0.857</v>
      </c>
      <c r="S50" s="20">
        <v>0.832</v>
      </c>
      <c r="T50" s="20">
        <v>15.716</v>
      </c>
      <c r="U50" s="20">
        <v>6.886E-30</v>
      </c>
      <c r="V50" s="20">
        <v>0.692</v>
      </c>
      <c r="W50" s="20" t="s">
        <v>146</v>
      </c>
      <c r="X50" s="38"/>
      <c r="Y50" s="38"/>
      <c r="Z50" s="38"/>
      <c r="AA50" s="38"/>
      <c r="AB50" s="38"/>
      <c r="AC50" s="38"/>
      <c r="AD50" s="38"/>
      <c r="AE50" s="38"/>
      <c r="AF50" s="38"/>
    </row>
    <row r="51" spans="1:32" ht="14.25">
      <c r="A51" s="5" t="s">
        <v>82</v>
      </c>
      <c r="B51" s="12">
        <v>655</v>
      </c>
      <c r="C51" s="5" t="s">
        <v>41</v>
      </c>
      <c r="D51" s="13" t="s">
        <v>18</v>
      </c>
      <c r="E51" s="5" t="s">
        <v>91</v>
      </c>
      <c r="F51" s="5" t="s">
        <v>19</v>
      </c>
      <c r="G51" s="12"/>
      <c r="H51" s="12"/>
      <c r="I51" s="12"/>
      <c r="J51" s="12"/>
      <c r="K51" s="20">
        <v>0.94</v>
      </c>
      <c r="L51" s="20">
        <v>28.794</v>
      </c>
      <c r="M51" s="20">
        <f>4.838*10^-53</f>
        <v>4.838E-53</v>
      </c>
      <c r="N51" s="20">
        <v>0.883</v>
      </c>
      <c r="O51" s="20">
        <v>0.912</v>
      </c>
      <c r="P51" s="20">
        <v>23.123</v>
      </c>
      <c r="Q51" s="20">
        <f>1.251*10^-43</f>
        <v>1.251E-43</v>
      </c>
      <c r="R51" s="20">
        <v>0.832</v>
      </c>
      <c r="S51" s="20">
        <v>0.804</v>
      </c>
      <c r="T51" s="20">
        <v>14.114</v>
      </c>
      <c r="U51" s="20">
        <v>2.3549999999999996E-26</v>
      </c>
      <c r="V51" s="20">
        <v>0.646</v>
      </c>
      <c r="W51" s="20" t="s">
        <v>147</v>
      </c>
      <c r="X51" s="38"/>
      <c r="Y51" s="38"/>
      <c r="Z51" s="38"/>
      <c r="AA51" s="38"/>
      <c r="AB51" s="38"/>
      <c r="AC51" s="38"/>
      <c r="AD51" s="38"/>
      <c r="AE51" s="38"/>
      <c r="AF51" s="38"/>
    </row>
    <row r="52" ht="14.25">
      <c r="D52" s="3"/>
    </row>
    <row r="53" spans="1:32" s="8" customFormat="1" ht="14.25">
      <c r="A53" s="8" t="s">
        <v>103</v>
      </c>
      <c r="B53" s="9"/>
      <c r="D53" s="7"/>
      <c r="X53" s="37"/>
      <c r="Y53" s="37"/>
      <c r="Z53" s="37"/>
      <c r="AA53" s="37"/>
      <c r="AB53" s="37"/>
      <c r="AC53" s="37"/>
      <c r="AD53" s="37"/>
      <c r="AE53" s="37"/>
      <c r="AF53" s="37"/>
    </row>
    <row r="54" ht="14.25">
      <c r="D54" s="3"/>
    </row>
    <row r="55" ht="14.25">
      <c r="A55" s="1" t="s">
        <v>105</v>
      </c>
    </row>
    <row r="56" ht="14.25">
      <c r="A56" s="1" t="s">
        <v>106</v>
      </c>
    </row>
    <row r="57" ht="14.25">
      <c r="A57" s="1" t="s">
        <v>107</v>
      </c>
    </row>
    <row r="58" ht="14.25">
      <c r="A58" s="1" t="s">
        <v>108</v>
      </c>
    </row>
    <row r="59" ht="14.25">
      <c r="A59" s="1" t="s">
        <v>109</v>
      </c>
    </row>
    <row r="60" ht="14.25">
      <c r="A60" s="1" t="s">
        <v>110</v>
      </c>
    </row>
    <row r="61" ht="14.25">
      <c r="A61" s="1" t="s">
        <v>111</v>
      </c>
    </row>
    <row r="62" ht="14.25">
      <c r="A62" s="1" t="s">
        <v>112</v>
      </c>
    </row>
    <row r="63" ht="14.25">
      <c r="A63" s="1" t="s">
        <v>113</v>
      </c>
    </row>
    <row r="64" ht="14.25">
      <c r="A64" s="1" t="s">
        <v>114</v>
      </c>
    </row>
    <row r="65" ht="14.25">
      <c r="A65" s="1" t="s">
        <v>115</v>
      </c>
    </row>
    <row r="66" ht="14.25">
      <c r="A66" s="1" t="s">
        <v>116</v>
      </c>
    </row>
    <row r="67" ht="14.25">
      <c r="A67" s="1" t="s">
        <v>117</v>
      </c>
    </row>
    <row r="68" ht="14.25">
      <c r="A68" s="1" t="s">
        <v>118</v>
      </c>
    </row>
    <row r="69" ht="14.25">
      <c r="A69" s="1" t="s">
        <v>119</v>
      </c>
    </row>
    <row r="70" ht="14.25">
      <c r="A70" s="1" t="s">
        <v>120</v>
      </c>
    </row>
    <row r="71" ht="14.25">
      <c r="A71" s="1" t="s">
        <v>121</v>
      </c>
    </row>
    <row r="72" ht="14.25">
      <c r="A72" s="1" t="s">
        <v>122</v>
      </c>
    </row>
    <row r="73" ht="14.25">
      <c r="A73" s="1" t="s">
        <v>123</v>
      </c>
    </row>
    <row r="74" ht="14.25">
      <c r="A74" s="1" t="s">
        <v>124</v>
      </c>
    </row>
    <row r="75" ht="14.25">
      <c r="A75" s="1" t="s">
        <v>125</v>
      </c>
    </row>
  </sheetData>
  <sheetProtection/>
  <mergeCells count="24">
    <mergeCell ref="W3:W5"/>
    <mergeCell ref="S4:S5"/>
    <mergeCell ref="T4:T5"/>
    <mergeCell ref="U4:U5"/>
    <mergeCell ref="V4:V5"/>
    <mergeCell ref="S3:V3"/>
    <mergeCell ref="H4:J4"/>
    <mergeCell ref="A3:A5"/>
    <mergeCell ref="C3:C5"/>
    <mergeCell ref="E3:E5"/>
    <mergeCell ref="F3:F5"/>
    <mergeCell ref="K4:K5"/>
    <mergeCell ref="B3:B5"/>
    <mergeCell ref="D3:D5"/>
    <mergeCell ref="P4:P5"/>
    <mergeCell ref="Q4:Q5"/>
    <mergeCell ref="R4:R5"/>
    <mergeCell ref="G3:J3"/>
    <mergeCell ref="K3:N3"/>
    <mergeCell ref="O3:R3"/>
    <mergeCell ref="L4:L5"/>
    <mergeCell ref="M4:M5"/>
    <mergeCell ref="N4:N5"/>
    <mergeCell ref="O4:O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 Microsoft Office</dc:creator>
  <cp:keywords/>
  <dc:description/>
  <cp:lastModifiedBy>Admin</cp:lastModifiedBy>
  <dcterms:created xsi:type="dcterms:W3CDTF">2020-03-04T11:50:43Z</dcterms:created>
  <dcterms:modified xsi:type="dcterms:W3CDTF">2021-03-06T09:34:23Z</dcterms:modified>
  <cp:category/>
  <cp:version/>
  <cp:contentType/>
  <cp:contentStatus/>
</cp:coreProperties>
</file>